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Input" sheetId="1" r:id="rId1"/>
    <sheet name="Calculations" sheetId="2" r:id="rId2"/>
  </sheets>
  <definedNames>
    <definedName name="Alternative">'Input'!$C$10</definedName>
    <definedName name="ASP_00_DRF">'Input'!$C$42</definedName>
    <definedName name="ASP_00_DSt">'Input'!$C$22</definedName>
    <definedName name="ASP_gr_DRF">'Input'!$C$43</definedName>
    <definedName name="ASP_gr_DRFp">'Input'!$C$53</definedName>
    <definedName name="ASP_gr_DSt">'Input'!$C$23</definedName>
    <definedName name="ASP_gr_DStn">'Input'!$C$34</definedName>
    <definedName name="ASP_sy_DRFp">'Input'!$C$52</definedName>
    <definedName name="ASP_sy_DStn">'Input'!$C$33</definedName>
    <definedName name="BaseYear">'Input'!$C$57</definedName>
    <definedName name="c_cogs_rf">'Calculations'!$E$25:$O$25</definedName>
    <definedName name="c_cogs_rf_new">'Calculations'!$E$26:$O$26</definedName>
    <definedName name="c_cogs_serv">'Calculations'!#REF!</definedName>
    <definedName name="c_cogs_static">'Calculations'!$E$23:$O$23</definedName>
    <definedName name="c_cogs_static_new">'Calculations'!$E$24:$O$24</definedName>
    <definedName name="c_inst_base">'Calculations'!#REF!</definedName>
    <definedName name="c_Mkt_RF">'Calculations'!$E$8:$O$8</definedName>
    <definedName name="c_Mkt_Static">'Calculations'!$E$7:$O$7</definedName>
    <definedName name="c_rev_rf">'Calculations'!$E$19:$O$19</definedName>
    <definedName name="c_rev_rf_plus">'Calculations'!$E$20:$O$20</definedName>
    <definedName name="c_rev_serv">'Calculations'!#REF!</definedName>
    <definedName name="c_rev_static">'Calculations'!$E$17:$O$17</definedName>
    <definedName name="c_rev_static_new">'Calculations'!$E$18:$O$18</definedName>
    <definedName name="c_units_rf">'Calculations'!$E$13:$O$13</definedName>
    <definedName name="c_units_rf_plus">'Calculations'!$E$14:$O$14</definedName>
    <definedName name="c_units_static">'Calculations'!$E$11:$O$11</definedName>
    <definedName name="c_units_static_new">'Calculations'!$E$12:$O$12</definedName>
    <definedName name="COGS_00_DRF">'Input'!$C$44</definedName>
    <definedName name="COGS_00_DSt">'Input'!$C$24</definedName>
    <definedName name="COGS_gr_DRF">'Input'!$C$45</definedName>
    <definedName name="COGS_gr_DRFp">'Input'!$C$55</definedName>
    <definedName name="COGS_gr_DSt">'Input'!$C$25</definedName>
    <definedName name="COGS_gr_DStn">'Input'!$C$36</definedName>
    <definedName name="COGS_sy_DRFp">'Input'!$C$54</definedName>
    <definedName name="COGS_sy_DStn">'Input'!$C$35</definedName>
    <definedName name="DiscountRate">'Input'!$C$58</definedName>
    <definedName name="InstBase_99">'Input'!#REF!</definedName>
    <definedName name="Mkt_00">'Input'!$C$13</definedName>
    <definedName name="Mkt_10">'Input'!$C$14</definedName>
    <definedName name="Mkt_RF_fr_00">'Input'!$C$15</definedName>
    <definedName name="Mkt_RF_fr_10">'Input'!$C$16</definedName>
    <definedName name="MS_00_DRF">'Input'!$C$38</definedName>
    <definedName name="MS_00_DSt">'Input'!$C$18</definedName>
    <definedName name="MS_gr_DRF">'Input'!$C$39</definedName>
    <definedName name="MS_gr_DSt">'Input'!$C$19</definedName>
    <definedName name="MS_pk_DRFp">'Input'!$C$51</definedName>
    <definedName name="MS_pk_DStn">'Input'!$C$32</definedName>
    <definedName name="NPV">'Calculations'!$E$51</definedName>
    <definedName name="RD_DRFp">'Input'!$E$65:$O$65</definedName>
    <definedName name="RD_InputTable">'Input'!$A$9:$H$62</definedName>
    <definedName name="RD_post_DStn">'Input'!$E$67:$O$67</definedName>
    <definedName name="RD_pre_DStn">'Input'!$E$66:$O$66</definedName>
    <definedName name="Serv_fr">'Input'!#REF!</definedName>
    <definedName name="Serv_margin">'Input'!#REF!</definedName>
    <definedName name="Serv_unit_rev">'Input'!#REF!</definedName>
    <definedName name="Serv_yrs">'Input'!#REF!</definedName>
    <definedName name="SGA">'Input'!$C$60</definedName>
    <definedName name="Startyr_DRFp">'Input'!$C$47</definedName>
    <definedName name="Startyr_DStn">'Input'!$C$28</definedName>
    <definedName name="TaxRate">'Input'!$C$59</definedName>
    <definedName name="tech_succ_DStn">'Input'!$C$27</definedName>
    <definedName name="Wcap">'Input'!$C$62</definedName>
    <definedName name="Wcap_99">'Input'!$C$61</definedName>
    <definedName name="Year">'Calculations'!$E$5:$O$5</definedName>
    <definedName name="Yr_DRF_stop">'Input'!$C$40</definedName>
    <definedName name="Yr_DSt_stop">'Input'!$C$20</definedName>
    <definedName name="Yrs_at_pk_DRFp">'Input'!$C$49</definedName>
    <definedName name="Yrs_at_pk_DStn">'Input'!$C$30</definedName>
    <definedName name="Yrs_to_0_DRFp">'Input'!$C$50</definedName>
    <definedName name="Yrs_to_0_DStn">'Input'!$C$31</definedName>
    <definedName name="Yrs_to_pk_DRFp">'Input'!$C$48</definedName>
    <definedName name="Yrs_to_pk_DStn">'Input'!$C$29</definedName>
  </definedNames>
  <calcPr fullCalcOnLoad="1"/>
</workbook>
</file>

<file path=xl/sharedStrings.xml><?xml version="1.0" encoding="utf-8"?>
<sst xmlns="http://schemas.openxmlformats.org/spreadsheetml/2006/main" count="250" uniqueCount="177">
  <si>
    <t>DiagStatic</t>
  </si>
  <si>
    <t>DiagRF</t>
  </si>
  <si>
    <t>Name</t>
  </si>
  <si>
    <t>Device</t>
  </si>
  <si>
    <t>Target Price</t>
  </si>
  <si>
    <t>Comp. Adv.</t>
  </si>
  <si>
    <t>Graphics</t>
  </si>
  <si>
    <t>Milk Exisiting Products</t>
  </si>
  <si>
    <t>Current</t>
  </si>
  <si>
    <t>Features</t>
  </si>
  <si>
    <t>OEM</t>
  </si>
  <si>
    <t>Upgrade</t>
  </si>
  <si>
    <t>New</t>
  </si>
  <si>
    <t>Link+Features</t>
  </si>
  <si>
    <t>Integral</t>
  </si>
  <si>
    <t>Description</t>
  </si>
  <si>
    <t>Units</t>
  </si>
  <si>
    <t>In Use</t>
  </si>
  <si>
    <t>Low</t>
  </si>
  <si>
    <t>Base</t>
  </si>
  <si>
    <t>High</t>
  </si>
  <si>
    <t>Market</t>
  </si>
  <si>
    <t>percent</t>
  </si>
  <si>
    <t>years</t>
  </si>
  <si>
    <t>$</t>
  </si>
  <si>
    <t>DiagRF Plus</t>
  </si>
  <si>
    <t>Gross Margin</t>
  </si>
  <si>
    <t>GLOBAL VARIABLES</t>
  </si>
  <si>
    <t>Base Year</t>
  </si>
  <si>
    <t>BaseYear</t>
  </si>
  <si>
    <t>Discount Rate</t>
  </si>
  <si>
    <t>DiscountRate</t>
  </si>
  <si>
    <t>Tax Rate</t>
  </si>
  <si>
    <t>TaxRate</t>
  </si>
  <si>
    <t>SG&amp;A</t>
  </si>
  <si>
    <t>Working Capital</t>
  </si>
  <si>
    <t>MS_gr_DSt</t>
  </si>
  <si>
    <t>ASP_gr_DSt</t>
  </si>
  <si>
    <t>COGS_gr_DSt</t>
  </si>
  <si>
    <t>MS_00_DSt</t>
  </si>
  <si>
    <t>COGS_00_DSt</t>
  </si>
  <si>
    <t>ASP_00_DSt</t>
  </si>
  <si>
    <t>Range Name</t>
  </si>
  <si>
    <t>$/unit</t>
  </si>
  <si>
    <t>year</t>
  </si>
  <si>
    <t>Year</t>
  </si>
  <si>
    <t>MS_gr_DRF</t>
  </si>
  <si>
    <t>ASP_00_DRF</t>
  </si>
  <si>
    <t>ASP_gr_DRF</t>
  </si>
  <si>
    <t>COGS_00_DRF</t>
  </si>
  <si>
    <t>COGS_gr_DRF</t>
  </si>
  <si>
    <t>MS_00_DRF</t>
  </si>
  <si>
    <t>% of revenue</t>
  </si>
  <si>
    <t>Sales, General, Administrative</t>
  </si>
  <si>
    <t>SGA</t>
  </si>
  <si>
    <t>Wcap</t>
  </si>
  <si>
    <t>Revenue</t>
  </si>
  <si>
    <t>Static</t>
  </si>
  <si>
    <t>RF</t>
  </si>
  <si>
    <t>DiagStatic New</t>
  </si>
  <si>
    <t>Yrs_to_pk_DStn</t>
  </si>
  <si>
    <t>Yrs_at_pk_DStn</t>
  </si>
  <si>
    <t>Yrs_to_0_DStn</t>
  </si>
  <si>
    <t>ASP_sy_DStn</t>
  </si>
  <si>
    <t>ASP_gr_DStn</t>
  </si>
  <si>
    <t>COGS_sy_DStn</t>
  </si>
  <si>
    <t>COGS_gr_DStn</t>
  </si>
  <si>
    <t>Startyr_DStn</t>
  </si>
  <si>
    <t>Yrs_to_pk_DRFp</t>
  </si>
  <si>
    <t>Yrs_at_pk_DRFp</t>
  </si>
  <si>
    <t>Yrs_to_0_DRFp</t>
  </si>
  <si>
    <t>ASP_sy_DRFp</t>
  </si>
  <si>
    <t>ASP_gr_DRFp</t>
  </si>
  <si>
    <t>COGS_sy_DRFp</t>
  </si>
  <si>
    <t>COGS_gr_DRFp</t>
  </si>
  <si>
    <t>Startyr_DRFp</t>
  </si>
  <si>
    <t>DiagStatic New, pre-success</t>
  </si>
  <si>
    <t>DiagStatic New, post-success</t>
  </si>
  <si>
    <t>RD_DRFp</t>
  </si>
  <si>
    <t>RD_pre_DStn</t>
  </si>
  <si>
    <t>RD_post_DStn</t>
  </si>
  <si>
    <t>c_Mkt_Static</t>
  </si>
  <si>
    <t>c_Mkt_RF</t>
  </si>
  <si>
    <t>c_units_static</t>
  </si>
  <si>
    <t>c_units_static_new</t>
  </si>
  <si>
    <t>c_units_rf</t>
  </si>
  <si>
    <t>c_rev_static_new</t>
  </si>
  <si>
    <t>c_rev_rf</t>
  </si>
  <si>
    <t>c_rev_static</t>
  </si>
  <si>
    <t>Revenue ($000)</t>
  </si>
  <si>
    <t>Cost of Goods Sold ($000)</t>
  </si>
  <si>
    <t>c_cogs_static_new</t>
  </si>
  <si>
    <t>c_cogs_rf</t>
  </si>
  <si>
    <t>c_cogs_rf_new</t>
  </si>
  <si>
    <t>c_cogs_static</t>
  </si>
  <si>
    <t>Costs</t>
  </si>
  <si>
    <t>R&amp;D Expense</t>
  </si>
  <si>
    <t>EBIT</t>
  </si>
  <si>
    <t>Tax</t>
  </si>
  <si>
    <t>Earnings</t>
  </si>
  <si>
    <t>Change in Working Capital</t>
  </si>
  <si>
    <t>Cash Flow</t>
  </si>
  <si>
    <t>Cumulative Cash Flow</t>
  </si>
  <si>
    <t>PV Cash Flow</t>
  </si>
  <si>
    <t>Cumulative PV Cash Flow</t>
  </si>
  <si>
    <t>Financial Results ($000)</t>
  </si>
  <si>
    <t>Working Capital, 1999</t>
  </si>
  <si>
    <t>Wcap_99</t>
  </si>
  <si>
    <t>NPV</t>
  </si>
  <si>
    <t>Cash Flow 2000-2010</t>
  </si>
  <si>
    <t>Terminal Value</t>
  </si>
  <si>
    <t>Total</t>
  </si>
  <si>
    <t>R&amp;D Investment ($000)</t>
  </si>
  <si>
    <t>tech_succ_DStn</t>
  </si>
  <si>
    <t>% of unit sales</t>
  </si>
  <si>
    <t>DiagStatic New, Years to Peak</t>
  </si>
  <si>
    <t>DiagStatic New, Years at Peak</t>
  </si>
  <si>
    <t>DiagStatic New, Years from Peak to 0</t>
  </si>
  <si>
    <t>DiagRF Plus, Years to Peak</t>
  </si>
  <si>
    <t>DiagRF Plus, Years at Peak</t>
  </si>
  <si>
    <t>DiagRF Plus, Years from Peak to 0</t>
  </si>
  <si>
    <t>DiagRF Plus, Market share at Peak</t>
  </si>
  <si>
    <t>NPV ($ million)</t>
  </si>
  <si>
    <t>DiagStatic, Market Share growth rate</t>
  </si>
  <si>
    <t>DiagStatic, Price, 2000</t>
  </si>
  <si>
    <t>DiagStatic, Price CAGR</t>
  </si>
  <si>
    <t>DiagStatic, COGS CAGR</t>
  </si>
  <si>
    <t>DiagStatic, Market Share, 2000</t>
  </si>
  <si>
    <t xml:space="preserve">     If DiagStatic New is introduced before this year, DiagStatic is discontinued at that time</t>
  </si>
  <si>
    <t xml:space="preserve">     If DiagRF Plus is introduced before this year, DiagRF is discontinued at that time</t>
  </si>
  <si>
    <t>DiagRF, Market Share growth rate</t>
  </si>
  <si>
    <t>DiagRF, Price, 2000</t>
  </si>
  <si>
    <t>DiagRF, Price CAGR</t>
  </si>
  <si>
    <t>DiagRF, COGS, 2000</t>
  </si>
  <si>
    <t>DiagRF, COGS CAGR</t>
  </si>
  <si>
    <t>DiagRF, Market Share, 2000</t>
  </si>
  <si>
    <t>DiagStatic New, Start Year</t>
  </si>
  <si>
    <t>DiagStatic New, Market Share at Peak</t>
  </si>
  <si>
    <t>DiagStatic New, Price, start year</t>
  </si>
  <si>
    <t>DiagStatic New, Price CAGR</t>
  </si>
  <si>
    <t>DiagStatic New, COGS, start year</t>
  </si>
  <si>
    <t>DiagStatic New, COGS CAGR</t>
  </si>
  <si>
    <t>DiagStatic New, Technical Success</t>
  </si>
  <si>
    <t>DiagRF Plus, Start Year</t>
  </si>
  <si>
    <t>DiagRF Plus, Price, start year</t>
  </si>
  <si>
    <t>DiagRF Plus, Price CAGR</t>
  </si>
  <si>
    <t>DiagRF Plus, COGS, start year</t>
  </si>
  <si>
    <t>DiagRF Plus, COGS CAGR</t>
  </si>
  <si>
    <t>c_units_rf_plus</t>
  </si>
  <si>
    <t>c_rev_rf_plus</t>
  </si>
  <si>
    <t>Total market, 2000</t>
  </si>
  <si>
    <t>Total Market, 2010</t>
  </si>
  <si>
    <t>RF Fraction of Market, 2000</t>
  </si>
  <si>
    <t>RF Fraction of Market, 2010</t>
  </si>
  <si>
    <t>Mkt_00</t>
  </si>
  <si>
    <t>Mkt_10</t>
  </si>
  <si>
    <t>Diagnostics' Units Sold</t>
  </si>
  <si>
    <t>Market Units Sold</t>
  </si>
  <si>
    <t>DiagStatic COGS, 2000</t>
  </si>
  <si>
    <t>#</t>
  </si>
  <si>
    <t>Yr_DSt_stop</t>
  </si>
  <si>
    <t>Yr_DRF_stop</t>
  </si>
  <si>
    <t>DiagStatic, Year Discontinued</t>
  </si>
  <si>
    <t>DiagRF, Year Discontinued</t>
  </si>
  <si>
    <t>yes/no</t>
  </si>
  <si>
    <t>No</t>
  </si>
  <si>
    <t>Yes</t>
  </si>
  <si>
    <t xml:space="preserve"> </t>
  </si>
  <si>
    <t>Alternative</t>
  </si>
  <si>
    <t>Alternative Table</t>
  </si>
  <si>
    <t>1, 2, 3</t>
  </si>
  <si>
    <t>INPUT</t>
  </si>
  <si>
    <t>units/year</t>
  </si>
  <si>
    <t>MS_pk_DStn</t>
  </si>
  <si>
    <t>MS_pk_DRFp</t>
  </si>
  <si>
    <t>Mkt_RF_fr_00</t>
  </si>
  <si>
    <t>Mkt_RF_fr_10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</si>
</sst>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&quot;$&quot;#,##0"/>
    <numFmt numFmtId="167" formatCode="&quot;$&quot;#,##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1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b/>
      <sz val="8"/>
      <name val="Arial"/>
      <family val="2"/>
    </font>
    <font>
      <sz val="8"/>
      <color indexed="55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>
        <color indexed="36"/>
      </left>
      <right style="medium">
        <color indexed="36"/>
      </right>
      <top style="medium">
        <color indexed="36"/>
      </top>
      <bottom style="medium">
        <color indexed="3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2" fillId="2" borderId="1">
      <alignment vertical="center"/>
      <protection/>
    </xf>
    <xf numFmtId="0" fontId="3" fillId="0" borderId="0">
      <alignment/>
      <protection/>
    </xf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23" applyFont="1">
      <alignment/>
      <protection/>
    </xf>
    <xf numFmtId="0" fontId="4" fillId="2" borderId="1" xfId="22" applyNumberFormat="1" applyFont="1" applyAlignment="1">
      <alignment vertical="center"/>
      <protection/>
    </xf>
    <xf numFmtId="0" fontId="1" fillId="0" borderId="2" xfId="0" applyFont="1" applyBorder="1" applyAlignment="1">
      <alignment horizontal="centerContinuous"/>
    </xf>
    <xf numFmtId="0" fontId="5" fillId="0" borderId="3" xfId="23" applyFont="1" applyBorder="1" applyAlignment="1">
      <alignment horizontal="centerContinuous"/>
      <protection/>
    </xf>
    <xf numFmtId="0" fontId="1" fillId="0" borderId="4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6" fontId="1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6" fontId="1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6" fontId="1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6" fontId="1" fillId="0" borderId="5" xfId="0" applyNumberFormat="1" applyFont="1" applyBorder="1" applyAlignment="1">
      <alignment horizontal="center"/>
    </xf>
    <xf numFmtId="0" fontId="4" fillId="0" borderId="5" xfId="23" applyFont="1" applyBorder="1" applyAlignment="1">
      <alignment horizontal="center"/>
      <protection/>
    </xf>
    <xf numFmtId="6" fontId="1" fillId="0" borderId="6" xfId="23" applyNumberFormat="1" applyFont="1" applyBorder="1" applyAlignment="1">
      <alignment horizontal="center"/>
      <protection/>
    </xf>
    <xf numFmtId="6" fontId="1" fillId="0" borderId="7" xfId="23" applyNumberFormat="1" applyFont="1" applyBorder="1" applyAlignment="1">
      <alignment horizontal="center"/>
      <protection/>
    </xf>
    <xf numFmtId="6" fontId="1" fillId="0" borderId="8" xfId="23" applyNumberFormat="1" applyFont="1" applyBorder="1" applyAlignment="1">
      <alignment horizontal="center"/>
      <protection/>
    </xf>
    <xf numFmtId="0" fontId="1" fillId="0" borderId="0" xfId="23" applyFont="1">
      <alignment/>
      <protection/>
    </xf>
    <xf numFmtId="6" fontId="1" fillId="0" borderId="5" xfId="23" applyNumberFormat="1" applyFont="1" applyBorder="1" applyAlignment="1">
      <alignment horizontal="center"/>
      <protection/>
    </xf>
    <xf numFmtId="0" fontId="4" fillId="0" borderId="5" xfId="0" applyFont="1" applyBorder="1" applyAlignment="1">
      <alignment horizontal="center" vertical="center"/>
    </xf>
    <xf numFmtId="0" fontId="7" fillId="0" borderId="0" xfId="0" applyFont="1" applyAlignment="1">
      <alignment/>
    </xf>
    <xf numFmtId="166" fontId="1" fillId="0" borderId="0" xfId="0" applyNumberFormat="1" applyFont="1" applyAlignment="1">
      <alignment/>
    </xf>
    <xf numFmtId="0" fontId="4" fillId="0" borderId="5" xfId="23" applyFont="1" applyBorder="1">
      <alignment/>
      <protection/>
    </xf>
    <xf numFmtId="0" fontId="4" fillId="0" borderId="0" xfId="0" applyFont="1" applyBorder="1" applyAlignment="1">
      <alignment/>
    </xf>
    <xf numFmtId="0" fontId="6" fillId="3" borderId="9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0" fontId="5" fillId="0" borderId="0" xfId="23" applyFont="1" applyBorder="1">
      <alignment/>
      <protection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3" fontId="4" fillId="2" borderId="1" xfId="22" applyNumberFormat="1" applyFont="1" applyBorder="1" applyAlignment="1">
      <alignment vertical="center"/>
      <protection/>
    </xf>
    <xf numFmtId="3" fontId="4" fillId="0" borderId="1" xfId="22" applyNumberFormat="1" applyFont="1" applyFill="1" applyBorder="1" applyAlignment="1">
      <alignment vertical="center"/>
      <protection/>
    </xf>
    <xf numFmtId="9" fontId="4" fillId="2" borderId="1" xfId="22" applyNumberFormat="1" applyFont="1" applyBorder="1" applyAlignment="1">
      <alignment vertical="center"/>
      <protection/>
    </xf>
    <xf numFmtId="9" fontId="4" fillId="0" borderId="1" xfId="22" applyNumberFormat="1" applyFont="1" applyFill="1" applyBorder="1" applyAlignment="1">
      <alignment vertical="center"/>
      <protection/>
    </xf>
    <xf numFmtId="0" fontId="4" fillId="2" borderId="1" xfId="22" applyNumberFormat="1" applyFont="1" applyBorder="1" applyAlignment="1">
      <alignment vertical="center"/>
      <protection/>
    </xf>
    <xf numFmtId="0" fontId="4" fillId="0" borderId="1" xfId="22" applyNumberFormat="1" applyFont="1" applyFill="1" applyBorder="1" applyAlignment="1">
      <alignment vertical="center"/>
      <protection/>
    </xf>
    <xf numFmtId="0" fontId="1" fillId="0" borderId="0" xfId="0" applyFont="1" applyFill="1" applyBorder="1" applyAlignment="1">
      <alignment/>
    </xf>
    <xf numFmtId="166" fontId="1" fillId="0" borderId="9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2" borderId="1" xfId="22" applyNumberFormat="1" applyFont="1" applyBorder="1" applyAlignment="1">
      <alignment vertical="center"/>
      <protection/>
    </xf>
    <xf numFmtId="166" fontId="5" fillId="0" borderId="0" xfId="23" applyNumberFormat="1" applyFont="1" applyBorder="1">
      <alignment/>
      <protection/>
    </xf>
    <xf numFmtId="166" fontId="4" fillId="0" borderId="1" xfId="22" applyNumberFormat="1" applyFont="1" applyFill="1" applyBorder="1" applyAlignment="1">
      <alignment vertical="center"/>
      <protection/>
    </xf>
    <xf numFmtId="16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165" fontId="4" fillId="2" borderId="1" xfId="22" applyNumberFormat="1" applyFont="1" applyBorder="1" applyAlignment="1">
      <alignment vertical="center"/>
      <protection/>
    </xf>
    <xf numFmtId="0" fontId="5" fillId="0" borderId="0" xfId="23" applyFont="1" applyFill="1" applyBorder="1">
      <alignment/>
      <protection/>
    </xf>
    <xf numFmtId="0" fontId="1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1" xfId="22" applyNumberFormat="1" applyFont="1" applyFill="1" applyBorder="1" applyAlignment="1">
      <alignment vertical="center"/>
      <protection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4" borderId="1" xfId="22" applyNumberFormat="1" applyFont="1" applyFill="1" applyBorder="1" applyAlignment="1">
      <alignment vertical="center"/>
      <protection/>
    </xf>
    <xf numFmtId="3" fontId="1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6" fontId="4" fillId="2" borderId="1" xfId="22" applyNumberFormat="1" applyFont="1" applyBorder="1" applyAlignment="1">
      <alignment vertical="center"/>
      <protection/>
    </xf>
    <xf numFmtId="3" fontId="4" fillId="4" borderId="1" xfId="22" applyNumberFormat="1" applyFont="1" applyFill="1" applyBorder="1" applyAlignment="1">
      <alignment vertical="center"/>
      <protection/>
    </xf>
    <xf numFmtId="3" fontId="1" fillId="0" borderId="4" xfId="0" applyNumberFormat="1" applyFont="1" applyBorder="1" applyAlignment="1">
      <alignment horizontal="centerContinuous"/>
    </xf>
    <xf numFmtId="3" fontId="4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5" fillId="0" borderId="0" xfId="23" applyNumberFormat="1" applyFont="1" applyFill="1" applyBorder="1">
      <alignment/>
      <protection/>
    </xf>
    <xf numFmtId="9" fontId="4" fillId="0" borderId="1" xfId="21" applyFont="1" applyFill="1" applyBorder="1" applyAlignment="1">
      <alignment vertical="center"/>
    </xf>
    <xf numFmtId="169" fontId="4" fillId="0" borderId="1" xfId="17" applyNumberFormat="1" applyFont="1" applyFill="1" applyBorder="1" applyAlignment="1">
      <alignment vertical="center"/>
    </xf>
    <xf numFmtId="166" fontId="4" fillId="0" borderId="1" xfId="17" applyNumberFormat="1" applyFont="1" applyFill="1" applyBorder="1" applyAlignment="1">
      <alignment vertical="center"/>
    </xf>
    <xf numFmtId="166" fontId="4" fillId="0" borderId="1" xfId="21" applyNumberFormat="1" applyFont="1" applyFill="1" applyBorder="1" applyAlignment="1">
      <alignment vertical="center"/>
    </xf>
    <xf numFmtId="9" fontId="4" fillId="2" borderId="1" xfId="21" applyFont="1" applyBorder="1" applyAlignment="1">
      <alignment vertical="center"/>
    </xf>
    <xf numFmtId="9" fontId="1" fillId="0" borderId="0" xfId="21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22" applyNumberFormat="1" applyFont="1" applyFill="1" applyBorder="1" applyAlignment="1">
      <alignment horizontal="right" vertical="center"/>
      <protection/>
    </xf>
    <xf numFmtId="3" fontId="4" fillId="0" borderId="1" xfId="22" applyNumberFormat="1" applyFont="1" applyFill="1" applyBorder="1" applyAlignment="1">
      <alignment horizontal="right" vertical="center"/>
      <protection/>
    </xf>
    <xf numFmtId="165" fontId="4" fillId="2" borderId="1" xfId="22" applyNumberFormat="1" applyFont="1" applyBorder="1" applyAlignment="1">
      <alignment horizontal="right" vertical="center"/>
      <protection/>
    </xf>
    <xf numFmtId="0" fontId="4" fillId="0" borderId="13" xfId="0" applyFont="1" applyBorder="1" applyAlignment="1">
      <alignment/>
    </xf>
    <xf numFmtId="0" fontId="5" fillId="0" borderId="13" xfId="23" applyFont="1" applyBorder="1">
      <alignment/>
      <protection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/>
    </xf>
    <xf numFmtId="0" fontId="4" fillId="0" borderId="0" xfId="23" applyFont="1" applyBorder="1" applyAlignment="1">
      <alignment horizontal="center"/>
      <protection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4" xfId="23" applyFont="1" applyBorder="1" applyAlignment="1">
      <alignment horizontal="centerContinuous"/>
      <protection/>
    </xf>
    <xf numFmtId="3" fontId="4" fillId="0" borderId="4" xfId="0" applyNumberFormat="1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2" xfId="23" applyFont="1" applyBorder="1" applyAlignment="1">
      <alignment horizontal="centerContinuous"/>
      <protection/>
    </xf>
    <xf numFmtId="14" fontId="1" fillId="0" borderId="10" xfId="0" applyNumberFormat="1" applyFont="1" applyBorder="1" applyAlignment="1">
      <alignment/>
    </xf>
    <xf numFmtId="0" fontId="0" fillId="0" borderId="9" xfId="0" applyBorder="1" applyAlignment="1">
      <alignment/>
    </xf>
    <xf numFmtId="166" fontId="1" fillId="0" borderId="4" xfId="0" applyNumberFormat="1" applyFont="1" applyBorder="1" applyAlignment="1">
      <alignment horizontal="centerContinuous"/>
    </xf>
    <xf numFmtId="166" fontId="4" fillId="0" borderId="4" xfId="0" applyNumberFormat="1" applyFont="1" applyBorder="1" applyAlignment="1">
      <alignment horizontal="centerContinuous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elected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tabSelected="1" zoomScale="75" zoomScaleNormal="75" workbookViewId="0" topLeftCell="A1">
      <selection activeCell="H19" sqref="H18:H19"/>
    </sheetView>
  </sheetViews>
  <sheetFormatPr defaultColWidth="9.140625" defaultRowHeight="12.75"/>
  <cols>
    <col min="1" max="1" width="3.421875" style="1" customWidth="1"/>
    <col min="2" max="2" width="34.57421875" style="1" customWidth="1"/>
    <col min="3" max="3" width="12.421875" style="1" customWidth="1"/>
    <col min="4" max="4" width="13.421875" style="1" customWidth="1"/>
    <col min="5" max="5" width="12.421875" style="1" customWidth="1"/>
    <col min="6" max="6" width="12.421875" style="63" customWidth="1"/>
    <col min="7" max="8" width="12.421875" style="1" customWidth="1"/>
    <col min="9" max="16384" width="9.140625" style="1" customWidth="1"/>
  </cols>
  <sheetData>
    <row r="1" spans="1:8" ht="11.25">
      <c r="A1" s="2" t="s">
        <v>169</v>
      </c>
      <c r="B1" s="2"/>
      <c r="C1" s="5" t="s">
        <v>1</v>
      </c>
      <c r="D1" s="6"/>
      <c r="E1" s="5" t="s">
        <v>0</v>
      </c>
      <c r="F1" s="67"/>
      <c r="G1" s="7"/>
      <c r="H1" s="8"/>
    </row>
    <row r="2" spans="1:8" ht="11.25">
      <c r="A2" s="10" t="s">
        <v>159</v>
      </c>
      <c r="B2" s="9" t="s">
        <v>2</v>
      </c>
      <c r="C2" s="10" t="s">
        <v>3</v>
      </c>
      <c r="D2" s="22" t="s">
        <v>4</v>
      </c>
      <c r="E2" s="10" t="s">
        <v>3</v>
      </c>
      <c r="F2" s="68" t="s">
        <v>5</v>
      </c>
      <c r="G2" s="10" t="s">
        <v>6</v>
      </c>
      <c r="H2" s="10" t="s">
        <v>4</v>
      </c>
    </row>
    <row r="3" spans="1:8" ht="11.25">
      <c r="A3" s="82">
        <v>1</v>
      </c>
      <c r="B3" s="11" t="s">
        <v>7</v>
      </c>
      <c r="C3" s="12" t="s">
        <v>8</v>
      </c>
      <c r="D3" s="23">
        <v>20000</v>
      </c>
      <c r="E3" s="12" t="s">
        <v>8</v>
      </c>
      <c r="F3" s="69" t="s">
        <v>9</v>
      </c>
      <c r="G3" s="12" t="s">
        <v>10</v>
      </c>
      <c r="H3" s="13">
        <v>10000</v>
      </c>
    </row>
    <row r="4" spans="1:8" ht="11.25">
      <c r="A4" s="82">
        <v>2</v>
      </c>
      <c r="B4" s="14" t="s">
        <v>25</v>
      </c>
      <c r="C4" s="15" t="s">
        <v>11</v>
      </c>
      <c r="D4" s="24">
        <v>25000</v>
      </c>
      <c r="E4" s="15" t="s">
        <v>8</v>
      </c>
      <c r="F4" s="70" t="s">
        <v>9</v>
      </c>
      <c r="G4" s="15" t="s">
        <v>10</v>
      </c>
      <c r="H4" s="16">
        <v>15000</v>
      </c>
    </row>
    <row r="5" spans="1:8" ht="11.25">
      <c r="A5" s="83">
        <v>3</v>
      </c>
      <c r="B5" s="17" t="s">
        <v>59</v>
      </c>
      <c r="C5" s="18" t="s">
        <v>8</v>
      </c>
      <c r="D5" s="25">
        <v>20000</v>
      </c>
      <c r="E5" s="18" t="s">
        <v>12</v>
      </c>
      <c r="F5" s="71" t="s">
        <v>13</v>
      </c>
      <c r="G5" s="18" t="s">
        <v>14</v>
      </c>
      <c r="H5" s="19">
        <v>10000</v>
      </c>
    </row>
    <row r="6" spans="1:4" ht="11.25">
      <c r="A6" s="2"/>
      <c r="B6" s="2"/>
      <c r="D6" s="26"/>
    </row>
    <row r="7" spans="2:8" ht="11.25" hidden="1">
      <c r="B7" s="9" t="e">
        <f>INDEX(B3:B5,Strategy)</f>
        <v>#NAME?</v>
      </c>
      <c r="C7" s="20" t="e">
        <f aca="true" t="shared" si="0" ref="C7:H7">INDEX(C3:C5,Strategy)</f>
        <v>#NAME?</v>
      </c>
      <c r="D7" s="27" t="e">
        <f t="shared" si="0"/>
        <v>#NAME?</v>
      </c>
      <c r="E7" s="20" t="e">
        <f t="shared" si="0"/>
        <v>#NAME?</v>
      </c>
      <c r="F7" s="72" t="e">
        <f t="shared" si="0"/>
        <v>#NAME?</v>
      </c>
      <c r="G7" s="20" t="e">
        <f t="shared" si="0"/>
        <v>#NAME?</v>
      </c>
      <c r="H7" s="21" t="e">
        <f t="shared" si="0"/>
        <v>#NAME?</v>
      </c>
    </row>
    <row r="8" spans="1:4" ht="11.25">
      <c r="A8" s="2" t="s">
        <v>171</v>
      </c>
      <c r="B8" s="2"/>
      <c r="D8" s="3"/>
    </row>
    <row r="9" spans="1:8" ht="12" thickBot="1">
      <c r="A9" s="61"/>
      <c r="B9" s="60" t="s">
        <v>15</v>
      </c>
      <c r="C9" s="28" t="s">
        <v>17</v>
      </c>
      <c r="D9" s="31" t="s">
        <v>42</v>
      </c>
      <c r="E9" s="10" t="s">
        <v>18</v>
      </c>
      <c r="F9" s="68" t="s">
        <v>19</v>
      </c>
      <c r="G9" s="10" t="s">
        <v>20</v>
      </c>
      <c r="H9" s="28" t="s">
        <v>16</v>
      </c>
    </row>
    <row r="10" spans="1:10" ht="12" thickBot="1">
      <c r="A10" s="33" t="s">
        <v>168</v>
      </c>
      <c r="B10" s="34"/>
      <c r="C10" s="4">
        <v>3</v>
      </c>
      <c r="D10" s="3" t="s">
        <v>168</v>
      </c>
      <c r="F10" s="1"/>
      <c r="H10" s="91" t="s">
        <v>170</v>
      </c>
      <c r="J10" s="63"/>
    </row>
    <row r="11" spans="1:10" ht="12.75">
      <c r="A11" s="103"/>
      <c r="B11"/>
      <c r="C11"/>
      <c r="D11" s="3"/>
      <c r="F11" s="1"/>
      <c r="H11" s="102"/>
      <c r="J11" s="63"/>
    </row>
    <row r="12" spans="1:8" ht="12" thickBot="1">
      <c r="A12" s="33" t="s">
        <v>21</v>
      </c>
      <c r="B12" s="34"/>
      <c r="C12" s="35"/>
      <c r="D12" s="36"/>
      <c r="E12" s="35"/>
      <c r="F12" s="73"/>
      <c r="G12" s="35"/>
      <c r="H12" s="37"/>
    </row>
    <row r="13" spans="1:8" ht="12" thickBot="1">
      <c r="A13" s="38"/>
      <c r="B13" s="32" t="s">
        <v>150</v>
      </c>
      <c r="C13" s="39">
        <v>3500</v>
      </c>
      <c r="D13" s="36" t="s">
        <v>154</v>
      </c>
      <c r="E13" s="40"/>
      <c r="F13" s="40">
        <v>3500</v>
      </c>
      <c r="G13" s="40"/>
      <c r="H13" s="37" t="s">
        <v>172</v>
      </c>
    </row>
    <row r="14" spans="1:8" ht="12" thickBot="1">
      <c r="A14" s="38"/>
      <c r="B14" s="32" t="s">
        <v>151</v>
      </c>
      <c r="C14" s="39">
        <v>4500</v>
      </c>
      <c r="D14" s="36" t="s">
        <v>155</v>
      </c>
      <c r="E14" s="40">
        <v>4000</v>
      </c>
      <c r="F14" s="40">
        <v>4500</v>
      </c>
      <c r="G14" s="40">
        <v>5000</v>
      </c>
      <c r="H14" s="37" t="s">
        <v>172</v>
      </c>
    </row>
    <row r="15" spans="1:8" ht="12" thickBot="1">
      <c r="A15" s="38"/>
      <c r="B15" s="32" t="s">
        <v>152</v>
      </c>
      <c r="C15" s="80">
        <v>0.17</v>
      </c>
      <c r="D15" s="36" t="s">
        <v>175</v>
      </c>
      <c r="E15" s="76"/>
      <c r="F15" s="76">
        <v>0.17</v>
      </c>
      <c r="G15" s="76"/>
      <c r="H15" s="37" t="s">
        <v>22</v>
      </c>
    </row>
    <row r="16" spans="1:8" ht="12" thickBot="1">
      <c r="A16" s="38"/>
      <c r="B16" s="32" t="s">
        <v>153</v>
      </c>
      <c r="C16" s="80">
        <v>0.25</v>
      </c>
      <c r="D16" s="36" t="s">
        <v>176</v>
      </c>
      <c r="E16" s="76">
        <v>0.2</v>
      </c>
      <c r="F16" s="76">
        <v>0.25</v>
      </c>
      <c r="G16" s="76">
        <v>0.35</v>
      </c>
      <c r="H16" s="37" t="s">
        <v>22</v>
      </c>
    </row>
    <row r="17" spans="1:8" ht="12" thickBot="1">
      <c r="A17" s="33" t="s">
        <v>0</v>
      </c>
      <c r="B17" s="34"/>
      <c r="C17" s="35"/>
      <c r="D17" s="36"/>
      <c r="E17" s="45"/>
      <c r="F17" s="74"/>
      <c r="G17" s="45"/>
      <c r="H17" s="37"/>
    </row>
    <row r="18" spans="1:9" ht="12" thickBot="1">
      <c r="A18" s="38"/>
      <c r="B18" s="32" t="s">
        <v>127</v>
      </c>
      <c r="C18" s="41">
        <v>0.1</v>
      </c>
      <c r="D18" s="36" t="s">
        <v>39</v>
      </c>
      <c r="E18" s="42"/>
      <c r="F18" s="76">
        <v>0.1</v>
      </c>
      <c r="G18" s="42"/>
      <c r="H18" s="37" t="s">
        <v>22</v>
      </c>
      <c r="I18" s="29"/>
    </row>
    <row r="19" spans="1:8" ht="12" thickBot="1">
      <c r="A19" s="38"/>
      <c r="B19" s="32" t="s">
        <v>123</v>
      </c>
      <c r="C19" s="41">
        <v>-0.2</v>
      </c>
      <c r="D19" s="36" t="s">
        <v>36</v>
      </c>
      <c r="E19" s="42">
        <v>-0.25</v>
      </c>
      <c r="F19" s="76">
        <v>-0.2</v>
      </c>
      <c r="G19" s="42">
        <v>-0.15</v>
      </c>
      <c r="H19" s="37" t="s">
        <v>22</v>
      </c>
    </row>
    <row r="20" spans="1:8" ht="12" thickBot="1">
      <c r="A20" s="38"/>
      <c r="B20" s="32" t="s">
        <v>162</v>
      </c>
      <c r="C20" s="43">
        <v>2005</v>
      </c>
      <c r="D20" s="36" t="s">
        <v>160</v>
      </c>
      <c r="E20" s="44"/>
      <c r="F20" s="44">
        <v>2005</v>
      </c>
      <c r="G20" s="44"/>
      <c r="H20" s="37" t="s">
        <v>44</v>
      </c>
    </row>
    <row r="21" spans="1:8" ht="12" thickBot="1">
      <c r="A21" s="38"/>
      <c r="B21" s="35" t="s">
        <v>128</v>
      </c>
      <c r="C21" s="35"/>
      <c r="D21" s="36"/>
      <c r="E21" s="45"/>
      <c r="F21" s="74"/>
      <c r="G21" s="45"/>
      <c r="H21" s="37"/>
    </row>
    <row r="22" spans="1:8" s="30" customFormat="1" ht="12" thickBot="1">
      <c r="A22" s="46"/>
      <c r="B22" s="47" t="s">
        <v>124</v>
      </c>
      <c r="C22" s="48">
        <v>9500</v>
      </c>
      <c r="D22" s="49" t="s">
        <v>41</v>
      </c>
      <c r="E22" s="77"/>
      <c r="F22" s="78">
        <v>9500</v>
      </c>
      <c r="G22" s="77"/>
      <c r="H22" s="51" t="s">
        <v>43</v>
      </c>
    </row>
    <row r="23" spans="1:8" ht="12" thickBot="1">
      <c r="A23" s="38"/>
      <c r="B23" s="32" t="s">
        <v>125</v>
      </c>
      <c r="C23" s="41">
        <v>0</v>
      </c>
      <c r="D23" s="36" t="s">
        <v>37</v>
      </c>
      <c r="E23" s="42">
        <v>-0.05</v>
      </c>
      <c r="F23" s="76">
        <v>-0.01</v>
      </c>
      <c r="G23" s="42">
        <v>0.01</v>
      </c>
      <c r="H23" s="37" t="s">
        <v>22</v>
      </c>
    </row>
    <row r="24" spans="1:8" s="30" customFormat="1" ht="12" thickBot="1">
      <c r="A24" s="46"/>
      <c r="B24" s="47" t="s">
        <v>158</v>
      </c>
      <c r="C24" s="48">
        <v>4500</v>
      </c>
      <c r="D24" s="49" t="s">
        <v>40</v>
      </c>
      <c r="E24" s="50"/>
      <c r="F24" s="50">
        <v>4500</v>
      </c>
      <c r="G24" s="50"/>
      <c r="H24" s="51" t="s">
        <v>43</v>
      </c>
    </row>
    <row r="25" spans="1:8" ht="12" thickBot="1">
      <c r="A25" s="38"/>
      <c r="B25" s="32" t="s">
        <v>126</v>
      </c>
      <c r="C25" s="41">
        <v>0.02</v>
      </c>
      <c r="D25" s="36" t="s">
        <v>38</v>
      </c>
      <c r="E25" s="42">
        <v>0</v>
      </c>
      <c r="F25" s="76">
        <v>0.02</v>
      </c>
      <c r="G25" s="42">
        <v>0.03</v>
      </c>
      <c r="H25" s="37" t="s">
        <v>22</v>
      </c>
    </row>
    <row r="26" spans="1:8" ht="12" thickBot="1">
      <c r="A26" s="33" t="s">
        <v>59</v>
      </c>
      <c r="B26" s="34"/>
      <c r="C26" s="35"/>
      <c r="D26" s="36"/>
      <c r="E26" s="45"/>
      <c r="F26" s="74"/>
      <c r="G26" s="45"/>
      <c r="H26" s="37"/>
    </row>
    <row r="27" spans="1:8" ht="12" thickBot="1">
      <c r="A27" s="38"/>
      <c r="B27" s="32" t="s">
        <v>142</v>
      </c>
      <c r="C27" s="86" t="s">
        <v>166</v>
      </c>
      <c r="D27" s="36" t="s">
        <v>113</v>
      </c>
      <c r="E27" s="84" t="s">
        <v>165</v>
      </c>
      <c r="F27" s="85" t="s">
        <v>166</v>
      </c>
      <c r="G27" s="84" t="s">
        <v>166</v>
      </c>
      <c r="H27" s="37" t="s">
        <v>164</v>
      </c>
    </row>
    <row r="28" spans="1:8" ht="12" thickBot="1">
      <c r="A28" s="38"/>
      <c r="B28" s="32" t="s">
        <v>136</v>
      </c>
      <c r="C28" s="43">
        <v>2003</v>
      </c>
      <c r="D28" s="36" t="s">
        <v>67</v>
      </c>
      <c r="E28" s="44"/>
      <c r="F28" s="44">
        <v>2003</v>
      </c>
      <c r="G28" s="44"/>
      <c r="H28" s="52" t="s">
        <v>44</v>
      </c>
    </row>
    <row r="29" spans="1:8" ht="12" thickBot="1">
      <c r="A29" s="38"/>
      <c r="B29" s="32" t="s">
        <v>115</v>
      </c>
      <c r="C29" s="43">
        <v>3</v>
      </c>
      <c r="D29" s="36" t="s">
        <v>60</v>
      </c>
      <c r="E29" s="44"/>
      <c r="F29" s="40">
        <v>3</v>
      </c>
      <c r="G29" s="44"/>
      <c r="H29" s="37" t="s">
        <v>23</v>
      </c>
    </row>
    <row r="30" spans="1:10" ht="12" thickBot="1">
      <c r="A30" s="38"/>
      <c r="B30" s="32" t="s">
        <v>116</v>
      </c>
      <c r="C30" s="43">
        <v>8</v>
      </c>
      <c r="D30" s="36" t="s">
        <v>61</v>
      </c>
      <c r="E30" s="44"/>
      <c r="F30" s="40">
        <v>8</v>
      </c>
      <c r="G30" s="44"/>
      <c r="H30" s="37" t="s">
        <v>23</v>
      </c>
      <c r="J30" s="1" t="s">
        <v>167</v>
      </c>
    </row>
    <row r="31" spans="1:8" ht="12" thickBot="1">
      <c r="A31" s="38"/>
      <c r="B31" s="32" t="s">
        <v>117</v>
      </c>
      <c r="C31" s="43">
        <v>7</v>
      </c>
      <c r="D31" s="36" t="s">
        <v>62</v>
      </c>
      <c r="E31" s="44"/>
      <c r="F31" s="40">
        <v>7</v>
      </c>
      <c r="G31" s="44"/>
      <c r="H31" s="37" t="s">
        <v>23</v>
      </c>
    </row>
    <row r="32" spans="1:8" ht="12" thickBot="1">
      <c r="A32" s="38"/>
      <c r="B32" s="32" t="s">
        <v>137</v>
      </c>
      <c r="C32" s="41">
        <v>0.2</v>
      </c>
      <c r="D32" s="36" t="s">
        <v>173</v>
      </c>
      <c r="E32" s="42">
        <v>0.1</v>
      </c>
      <c r="F32" s="76">
        <v>0.2</v>
      </c>
      <c r="G32" s="42">
        <v>0.4</v>
      </c>
      <c r="H32" s="37" t="s">
        <v>22</v>
      </c>
    </row>
    <row r="33" spans="1:8" s="30" customFormat="1" ht="12" thickBot="1">
      <c r="A33" s="46"/>
      <c r="B33" s="47" t="s">
        <v>138</v>
      </c>
      <c r="C33" s="48">
        <v>14000</v>
      </c>
      <c r="D33" s="49" t="s">
        <v>63</v>
      </c>
      <c r="E33" s="50">
        <v>12000</v>
      </c>
      <c r="F33" s="50">
        <v>14000</v>
      </c>
      <c r="G33" s="50">
        <v>15000</v>
      </c>
      <c r="H33" s="51" t="s">
        <v>43</v>
      </c>
    </row>
    <row r="34" spans="1:8" ht="12" thickBot="1">
      <c r="A34" s="38"/>
      <c r="B34" s="32" t="s">
        <v>139</v>
      </c>
      <c r="C34" s="41">
        <v>0</v>
      </c>
      <c r="D34" s="36" t="s">
        <v>64</v>
      </c>
      <c r="E34" s="42">
        <v>-0.03</v>
      </c>
      <c r="F34" s="76">
        <v>0</v>
      </c>
      <c r="G34" s="42">
        <v>0.01</v>
      </c>
      <c r="H34" s="37" t="s">
        <v>22</v>
      </c>
    </row>
    <row r="35" spans="1:8" s="30" customFormat="1" ht="12" thickBot="1">
      <c r="A35" s="46"/>
      <c r="B35" s="47" t="s">
        <v>140</v>
      </c>
      <c r="C35" s="48">
        <v>4800</v>
      </c>
      <c r="D35" s="49" t="s">
        <v>65</v>
      </c>
      <c r="E35" s="50">
        <v>4600</v>
      </c>
      <c r="F35" s="50">
        <v>4800</v>
      </c>
      <c r="G35" s="50">
        <v>5200</v>
      </c>
      <c r="H35" s="51" t="s">
        <v>43</v>
      </c>
    </row>
    <row r="36" spans="1:8" ht="12" thickBot="1">
      <c r="A36" s="38"/>
      <c r="B36" s="32" t="s">
        <v>141</v>
      </c>
      <c r="C36" s="41">
        <v>0.02</v>
      </c>
      <c r="D36" s="36" t="s">
        <v>66</v>
      </c>
      <c r="E36" s="42">
        <v>0</v>
      </c>
      <c r="F36" s="76">
        <v>0.02</v>
      </c>
      <c r="G36" s="42">
        <v>0.03</v>
      </c>
      <c r="H36" s="37" t="s">
        <v>22</v>
      </c>
    </row>
    <row r="37" spans="1:8" ht="12" thickBot="1">
      <c r="A37" s="33" t="s">
        <v>1</v>
      </c>
      <c r="B37" s="34"/>
      <c r="C37" s="35"/>
      <c r="D37" s="36"/>
      <c r="E37" s="45"/>
      <c r="F37" s="74"/>
      <c r="G37" s="45"/>
      <c r="H37" s="37"/>
    </row>
    <row r="38" spans="1:9" ht="12" thickBot="1">
      <c r="A38" s="38"/>
      <c r="B38" s="32" t="s">
        <v>135</v>
      </c>
      <c r="C38" s="41">
        <v>0.4</v>
      </c>
      <c r="D38" s="36" t="s">
        <v>51</v>
      </c>
      <c r="E38" s="42"/>
      <c r="F38" s="76">
        <v>0.4</v>
      </c>
      <c r="G38" s="42"/>
      <c r="H38" s="37" t="s">
        <v>44</v>
      </c>
      <c r="I38" s="29"/>
    </row>
    <row r="39" spans="1:8" ht="12" thickBot="1">
      <c r="A39" s="38"/>
      <c r="B39" s="32" t="s">
        <v>130</v>
      </c>
      <c r="C39" s="41">
        <v>-0.1</v>
      </c>
      <c r="D39" s="36" t="s">
        <v>46</v>
      </c>
      <c r="E39" s="42">
        <v>-0.2</v>
      </c>
      <c r="F39" s="76">
        <v>-0.1</v>
      </c>
      <c r="G39" s="42">
        <v>-0.05</v>
      </c>
      <c r="H39" s="37" t="s">
        <v>22</v>
      </c>
    </row>
    <row r="40" spans="1:8" ht="12" thickBot="1">
      <c r="A40" s="38"/>
      <c r="B40" s="32" t="s">
        <v>163</v>
      </c>
      <c r="C40" s="43">
        <v>2008</v>
      </c>
      <c r="D40" s="36" t="s">
        <v>161</v>
      </c>
      <c r="E40" s="44"/>
      <c r="F40" s="44">
        <v>2008</v>
      </c>
      <c r="G40" s="44"/>
      <c r="H40" s="37" t="s">
        <v>44</v>
      </c>
    </row>
    <row r="41" spans="1:8" ht="12" thickBot="1">
      <c r="A41" s="38"/>
      <c r="B41" s="35" t="s">
        <v>129</v>
      </c>
      <c r="C41" s="35"/>
      <c r="D41" s="36"/>
      <c r="E41" s="45"/>
      <c r="F41" s="74"/>
      <c r="G41" s="45"/>
      <c r="H41" s="37"/>
    </row>
    <row r="42" spans="1:8" s="30" customFormat="1" ht="12" thickBot="1">
      <c r="A42" s="46"/>
      <c r="B42" s="47" t="s">
        <v>131</v>
      </c>
      <c r="C42" s="48">
        <v>17000</v>
      </c>
      <c r="D42" s="49" t="s">
        <v>47</v>
      </c>
      <c r="E42" s="50"/>
      <c r="F42" s="50">
        <v>17000</v>
      </c>
      <c r="G42" s="50"/>
      <c r="H42" s="51" t="s">
        <v>43</v>
      </c>
    </row>
    <row r="43" spans="1:8" ht="12" thickBot="1">
      <c r="A43" s="38"/>
      <c r="B43" s="32" t="s">
        <v>132</v>
      </c>
      <c r="C43" s="41">
        <v>0</v>
      </c>
      <c r="D43" s="36" t="s">
        <v>48</v>
      </c>
      <c r="E43" s="42">
        <v>-0.04</v>
      </c>
      <c r="F43" s="76">
        <v>0</v>
      </c>
      <c r="G43" s="42">
        <v>0.01</v>
      </c>
      <c r="H43" s="37" t="s">
        <v>22</v>
      </c>
    </row>
    <row r="44" spans="1:8" s="30" customFormat="1" ht="12" thickBot="1">
      <c r="A44" s="46"/>
      <c r="B44" s="47" t="s">
        <v>133</v>
      </c>
      <c r="C44" s="48">
        <v>4500</v>
      </c>
      <c r="D44" s="49" t="s">
        <v>49</v>
      </c>
      <c r="E44" s="50"/>
      <c r="F44" s="79">
        <v>4500</v>
      </c>
      <c r="G44" s="50"/>
      <c r="H44" s="51" t="s">
        <v>43</v>
      </c>
    </row>
    <row r="45" spans="1:8" ht="12" thickBot="1">
      <c r="A45" s="38"/>
      <c r="B45" s="32" t="s">
        <v>134</v>
      </c>
      <c r="C45" s="41">
        <v>0.02</v>
      </c>
      <c r="D45" s="36" t="s">
        <v>50</v>
      </c>
      <c r="E45" s="42">
        <v>0</v>
      </c>
      <c r="F45" s="76">
        <v>0.02</v>
      </c>
      <c r="G45" s="42">
        <v>0.03</v>
      </c>
      <c r="H45" s="37" t="s">
        <v>22</v>
      </c>
    </row>
    <row r="46" spans="1:8" ht="12" thickBot="1">
      <c r="A46" s="33" t="s">
        <v>25</v>
      </c>
      <c r="B46" s="34"/>
      <c r="C46" s="35"/>
      <c r="D46" s="36"/>
      <c r="E46" s="45"/>
      <c r="F46" s="74"/>
      <c r="G46" s="45"/>
      <c r="H46" s="37"/>
    </row>
    <row r="47" spans="1:8" ht="12" thickBot="1">
      <c r="A47" s="38"/>
      <c r="B47" s="32" t="s">
        <v>143</v>
      </c>
      <c r="C47" s="43">
        <v>2001</v>
      </c>
      <c r="D47" s="36" t="s">
        <v>75</v>
      </c>
      <c r="E47" s="44"/>
      <c r="F47" s="44">
        <v>2001</v>
      </c>
      <c r="G47" s="44"/>
      <c r="H47" s="52" t="s">
        <v>44</v>
      </c>
    </row>
    <row r="48" spans="1:8" ht="12" thickBot="1">
      <c r="A48" s="38"/>
      <c r="B48" s="32" t="s">
        <v>118</v>
      </c>
      <c r="C48" s="43">
        <v>2</v>
      </c>
      <c r="D48" s="36" t="s">
        <v>68</v>
      </c>
      <c r="E48" s="44"/>
      <c r="F48" s="40">
        <v>2</v>
      </c>
      <c r="G48" s="44"/>
      <c r="H48" s="37" t="s">
        <v>23</v>
      </c>
    </row>
    <row r="49" spans="1:8" ht="12" thickBot="1">
      <c r="A49" s="38"/>
      <c r="B49" s="32" t="s">
        <v>119</v>
      </c>
      <c r="C49" s="43">
        <v>6</v>
      </c>
      <c r="D49" s="36" t="s">
        <v>69</v>
      </c>
      <c r="E49" s="44"/>
      <c r="F49" s="40">
        <v>6</v>
      </c>
      <c r="G49" s="44"/>
      <c r="H49" s="37" t="s">
        <v>23</v>
      </c>
    </row>
    <row r="50" spans="1:8" ht="12" thickBot="1">
      <c r="A50" s="38"/>
      <c r="B50" s="32" t="s">
        <v>120</v>
      </c>
      <c r="C50" s="43">
        <v>5</v>
      </c>
      <c r="D50" s="36" t="s">
        <v>70</v>
      </c>
      <c r="E50" s="44"/>
      <c r="F50" s="40">
        <v>5</v>
      </c>
      <c r="G50" s="44"/>
      <c r="H50" s="37" t="s">
        <v>23</v>
      </c>
    </row>
    <row r="51" spans="1:8" ht="12" thickBot="1">
      <c r="A51" s="38"/>
      <c r="B51" s="32" t="s">
        <v>121</v>
      </c>
      <c r="C51" s="41">
        <v>0.4</v>
      </c>
      <c r="D51" s="36" t="s">
        <v>174</v>
      </c>
      <c r="E51" s="42">
        <v>0.25</v>
      </c>
      <c r="F51" s="76">
        <v>0.4</v>
      </c>
      <c r="G51" s="42">
        <v>0.45</v>
      </c>
      <c r="H51" s="37" t="s">
        <v>22</v>
      </c>
    </row>
    <row r="52" spans="1:8" s="30" customFormat="1" ht="12" thickBot="1">
      <c r="A52" s="46"/>
      <c r="B52" s="47" t="s">
        <v>144</v>
      </c>
      <c r="C52" s="48">
        <v>19000</v>
      </c>
      <c r="D52" s="49" t="s">
        <v>71</v>
      </c>
      <c r="E52" s="50">
        <v>17000</v>
      </c>
      <c r="F52" s="50">
        <v>19000</v>
      </c>
      <c r="G52" s="50">
        <v>23000</v>
      </c>
      <c r="H52" s="51" t="s">
        <v>43</v>
      </c>
    </row>
    <row r="53" spans="1:8" ht="12" thickBot="1">
      <c r="A53" s="38"/>
      <c r="B53" s="32" t="s">
        <v>145</v>
      </c>
      <c r="C53" s="41">
        <v>0</v>
      </c>
      <c r="D53" s="36" t="s">
        <v>72</v>
      </c>
      <c r="E53" s="42">
        <v>-0.03</v>
      </c>
      <c r="F53" s="76">
        <v>0</v>
      </c>
      <c r="G53" s="42">
        <v>0.01</v>
      </c>
      <c r="H53" s="37" t="s">
        <v>22</v>
      </c>
    </row>
    <row r="54" spans="1:8" s="30" customFormat="1" ht="12" thickBot="1">
      <c r="A54" s="46"/>
      <c r="B54" s="47" t="s">
        <v>146</v>
      </c>
      <c r="C54" s="48">
        <v>4800</v>
      </c>
      <c r="D54" s="49" t="s">
        <v>73</v>
      </c>
      <c r="E54" s="50">
        <v>4600</v>
      </c>
      <c r="F54" s="40">
        <v>4800</v>
      </c>
      <c r="G54" s="50">
        <v>5300</v>
      </c>
      <c r="H54" s="51" t="s">
        <v>43</v>
      </c>
    </row>
    <row r="55" spans="1:8" ht="12" thickBot="1">
      <c r="A55" s="38"/>
      <c r="B55" s="32" t="s">
        <v>147</v>
      </c>
      <c r="C55" s="41">
        <v>0.02</v>
      </c>
      <c r="D55" s="36" t="s">
        <v>74</v>
      </c>
      <c r="E55" s="42">
        <v>0</v>
      </c>
      <c r="F55" s="76">
        <v>0.02</v>
      </c>
      <c r="G55" s="42">
        <v>0.03</v>
      </c>
      <c r="H55" s="37" t="s">
        <v>22</v>
      </c>
    </row>
    <row r="56" spans="1:8" ht="12" thickBot="1">
      <c r="A56" s="33" t="s">
        <v>27</v>
      </c>
      <c r="B56" s="34"/>
      <c r="C56" s="36"/>
      <c r="D56" s="36"/>
      <c r="E56" s="54"/>
      <c r="F56" s="75"/>
      <c r="G56" s="54"/>
      <c r="H56" s="52"/>
    </row>
    <row r="57" spans="1:8" ht="12" thickBot="1">
      <c r="A57" s="55"/>
      <c r="B57" s="56" t="s">
        <v>28</v>
      </c>
      <c r="C57" s="53">
        <v>2000</v>
      </c>
      <c r="D57" s="36" t="s">
        <v>29</v>
      </c>
      <c r="E57" s="57"/>
      <c r="F57" s="44">
        <v>2000</v>
      </c>
      <c r="G57" s="57"/>
      <c r="H57" s="52" t="s">
        <v>44</v>
      </c>
    </row>
    <row r="58" spans="1:8" ht="12" thickBot="1">
      <c r="A58" s="55"/>
      <c r="B58" s="56" t="s">
        <v>30</v>
      </c>
      <c r="C58" s="41">
        <v>0.1</v>
      </c>
      <c r="D58" s="36" t="s">
        <v>31</v>
      </c>
      <c r="E58" s="42"/>
      <c r="F58" s="76">
        <v>0.1</v>
      </c>
      <c r="G58" s="42"/>
      <c r="H58" s="52" t="s">
        <v>22</v>
      </c>
    </row>
    <row r="59" spans="1:8" ht="12" thickBot="1">
      <c r="A59" s="55"/>
      <c r="B59" s="56" t="s">
        <v>32</v>
      </c>
      <c r="C59" s="41">
        <v>0.38</v>
      </c>
      <c r="D59" s="36" t="s">
        <v>33</v>
      </c>
      <c r="E59" s="42"/>
      <c r="F59" s="76">
        <v>0.38</v>
      </c>
      <c r="G59" s="42"/>
      <c r="H59" s="52" t="s">
        <v>22</v>
      </c>
    </row>
    <row r="60" spans="1:9" ht="12" thickBot="1">
      <c r="A60" s="38"/>
      <c r="B60" s="56" t="s">
        <v>53</v>
      </c>
      <c r="C60" s="41">
        <v>0.1</v>
      </c>
      <c r="D60" s="36" t="s">
        <v>54</v>
      </c>
      <c r="E60" s="42"/>
      <c r="F60" s="76">
        <v>0.1</v>
      </c>
      <c r="G60" s="42"/>
      <c r="H60" s="52" t="s">
        <v>114</v>
      </c>
      <c r="I60" s="29"/>
    </row>
    <row r="61" spans="1:8" ht="12" thickBot="1">
      <c r="A61" s="38"/>
      <c r="B61" s="32" t="s">
        <v>106</v>
      </c>
      <c r="C61" s="65">
        <v>3000000</v>
      </c>
      <c r="D61" s="36" t="s">
        <v>107</v>
      </c>
      <c r="E61" s="42"/>
      <c r="F61" s="50">
        <v>3000000</v>
      </c>
      <c r="G61" s="42"/>
      <c r="H61" s="37" t="s">
        <v>24</v>
      </c>
    </row>
    <row r="62" spans="1:8" ht="12" thickBot="1">
      <c r="A62" s="58"/>
      <c r="B62" s="87" t="s">
        <v>35</v>
      </c>
      <c r="C62" s="41">
        <v>0.29</v>
      </c>
      <c r="D62" s="88" t="s">
        <v>55</v>
      </c>
      <c r="E62" s="42"/>
      <c r="F62" s="76">
        <v>0.29</v>
      </c>
      <c r="G62" s="42"/>
      <c r="H62" s="59" t="s">
        <v>52</v>
      </c>
    </row>
    <row r="63" ht="12" thickBot="1"/>
    <row r="64" spans="1:15" ht="12" thickBot="1">
      <c r="A64" s="2" t="s">
        <v>112</v>
      </c>
      <c r="E64" s="57">
        <f>BaseYear</f>
        <v>2000</v>
      </c>
      <c r="F64" s="40">
        <f aca="true" t="shared" si="1" ref="F64:O64">E64+1</f>
        <v>2001</v>
      </c>
      <c r="G64" s="57">
        <f t="shared" si="1"/>
        <v>2002</v>
      </c>
      <c r="H64" s="57">
        <f t="shared" si="1"/>
        <v>2003</v>
      </c>
      <c r="I64" s="57">
        <f t="shared" si="1"/>
        <v>2004</v>
      </c>
      <c r="J64" s="57">
        <f t="shared" si="1"/>
        <v>2005</v>
      </c>
      <c r="K64" s="57">
        <f t="shared" si="1"/>
        <v>2006</v>
      </c>
      <c r="L64" s="57">
        <f t="shared" si="1"/>
        <v>2007</v>
      </c>
      <c r="M64" s="57">
        <f t="shared" si="1"/>
        <v>2008</v>
      </c>
      <c r="N64" s="57">
        <f t="shared" si="1"/>
        <v>2009</v>
      </c>
      <c r="O64" s="57">
        <f t="shared" si="1"/>
        <v>2010</v>
      </c>
    </row>
    <row r="65" spans="2:15" ht="12" thickBot="1">
      <c r="B65" s="2" t="s">
        <v>25</v>
      </c>
      <c r="D65" s="36" t="s">
        <v>78</v>
      </c>
      <c r="E65" s="62">
        <v>500</v>
      </c>
      <c r="F65" s="66">
        <v>1500</v>
      </c>
      <c r="G65" s="62"/>
      <c r="H65" s="62"/>
      <c r="I65" s="62"/>
      <c r="J65" s="62"/>
      <c r="K65" s="62"/>
      <c r="L65" s="62"/>
      <c r="M65" s="62"/>
      <c r="N65" s="62"/>
      <c r="O65" s="62"/>
    </row>
    <row r="66" spans="2:15" ht="12" thickBot="1">
      <c r="B66" s="2" t="s">
        <v>76</v>
      </c>
      <c r="D66" s="36" t="s">
        <v>79</v>
      </c>
      <c r="E66" s="66">
        <v>1800</v>
      </c>
      <c r="F66" s="66">
        <v>1800</v>
      </c>
      <c r="G66" s="62"/>
      <c r="H66" s="62"/>
      <c r="I66" s="62"/>
      <c r="J66" s="62"/>
      <c r="K66" s="62"/>
      <c r="L66" s="62"/>
      <c r="M66" s="62"/>
      <c r="N66" s="62"/>
      <c r="O66" s="62"/>
    </row>
    <row r="67" spans="2:15" ht="12" thickBot="1">
      <c r="B67" s="2" t="s">
        <v>77</v>
      </c>
      <c r="D67" s="36" t="s">
        <v>80</v>
      </c>
      <c r="E67" s="62"/>
      <c r="F67" s="66">
        <v>400</v>
      </c>
      <c r="G67" s="66">
        <v>1900</v>
      </c>
      <c r="H67" s="66">
        <v>1100</v>
      </c>
      <c r="I67" s="62"/>
      <c r="J67" s="62"/>
      <c r="K67" s="62"/>
      <c r="L67" s="62"/>
      <c r="M67" s="62"/>
      <c r="N67" s="62"/>
      <c r="O67" s="62"/>
    </row>
  </sheetData>
  <printOptions/>
  <pageMargins left="0.25" right="0.25" top="0.22" bottom="0.23" header="0.5" footer="0.25"/>
  <pageSetup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="75" zoomScaleNormal="75" workbookViewId="0" topLeftCell="A1">
      <selection activeCell="E8" sqref="E8:O8"/>
    </sheetView>
  </sheetViews>
  <sheetFormatPr defaultColWidth="9.140625" defaultRowHeight="12.75"/>
  <cols>
    <col min="1" max="1" width="2.28125" style="2" customWidth="1"/>
    <col min="2" max="2" width="9.7109375" style="2" bestFit="1" customWidth="1"/>
    <col min="3" max="3" width="9.140625" style="2" customWidth="1"/>
    <col min="4" max="15" width="7.140625" style="1" customWidth="1"/>
    <col min="16" max="16384" width="9.140625" style="1" customWidth="1"/>
  </cols>
  <sheetData>
    <row r="1" spans="1:15" s="35" customFormat="1" ht="11.25">
      <c r="A1" s="32" t="s">
        <v>168</v>
      </c>
      <c r="B1" s="32"/>
      <c r="C1" s="93"/>
      <c r="D1" s="101" t="s">
        <v>1</v>
      </c>
      <c r="E1" s="97"/>
      <c r="F1" s="99"/>
      <c r="G1" s="100"/>
      <c r="H1" s="96" t="s">
        <v>0</v>
      </c>
      <c r="I1" s="97"/>
      <c r="J1" s="97"/>
      <c r="K1" s="97"/>
      <c r="L1" s="97"/>
      <c r="M1" s="97"/>
      <c r="N1" s="97"/>
      <c r="O1" s="100"/>
    </row>
    <row r="2" spans="1:15" s="94" customFormat="1" ht="11.25">
      <c r="A2" s="95" t="s">
        <v>159</v>
      </c>
      <c r="B2" s="96" t="s">
        <v>2</v>
      </c>
      <c r="C2" s="8"/>
      <c r="D2" s="96" t="s">
        <v>3</v>
      </c>
      <c r="E2" s="8"/>
      <c r="F2" s="98" t="s">
        <v>4</v>
      </c>
      <c r="G2" s="7"/>
      <c r="H2" s="96" t="s">
        <v>3</v>
      </c>
      <c r="I2" s="8"/>
      <c r="J2" s="99" t="s">
        <v>5</v>
      </c>
      <c r="K2" s="7"/>
      <c r="L2" s="96" t="s">
        <v>6</v>
      </c>
      <c r="M2" s="8"/>
      <c r="N2" s="97" t="s">
        <v>4</v>
      </c>
      <c r="O2" s="8"/>
    </row>
    <row r="3" spans="1:15" s="94" customFormat="1" ht="11.25">
      <c r="A3" s="95">
        <f>INDEX(Input!A3:A5,Alternative)</f>
        <v>3</v>
      </c>
      <c r="B3" s="96" t="str">
        <f>INDEX(Input!B3:B5,Alternative)</f>
        <v>DiagStatic New</v>
      </c>
      <c r="C3" s="8"/>
      <c r="D3" s="96" t="str">
        <f>INDEX(Input!C3:C5,Alternative)</f>
        <v>Current</v>
      </c>
      <c r="E3" s="8"/>
      <c r="F3" s="105">
        <f>INDEX(Input!D3:D5,Alternative)</f>
        <v>20000</v>
      </c>
      <c r="G3" s="104"/>
      <c r="H3" s="96" t="str">
        <f>INDEX(Input!E3:E5,Alternative)</f>
        <v>New</v>
      </c>
      <c r="I3" s="8"/>
      <c r="J3" s="97" t="str">
        <f>INDEX(Input!F3:F5,Alternative)</f>
        <v>Link+Features</v>
      </c>
      <c r="K3" s="7"/>
      <c r="L3" s="96" t="str">
        <f>INDEX(Input!G3:G5,Alternative)</f>
        <v>Integral</v>
      </c>
      <c r="M3" s="8"/>
      <c r="N3" s="105">
        <f>INDEX(Input!H3:H5,Alternative)</f>
        <v>10000</v>
      </c>
      <c r="O3" s="8"/>
    </row>
    <row r="4" spans="1:8" ht="11.25">
      <c r="A4" s="89"/>
      <c r="B4" s="32"/>
      <c r="C4" s="89"/>
      <c r="D4" s="92"/>
      <c r="E4" s="89"/>
      <c r="F4" s="90"/>
      <c r="G4" s="89"/>
      <c r="H4" s="89"/>
    </row>
    <row r="5" spans="4:16" ht="11.25">
      <c r="D5" s="2">
        <f>E5-1</f>
        <v>1999</v>
      </c>
      <c r="E5" s="2">
        <f>BaseYear</f>
        <v>2000</v>
      </c>
      <c r="F5" s="2">
        <f>E5+1</f>
        <v>2001</v>
      </c>
      <c r="G5" s="2">
        <f aca="true" t="shared" si="0" ref="G5:O5">F5+1</f>
        <v>2002</v>
      </c>
      <c r="H5" s="2">
        <f t="shared" si="0"/>
        <v>2003</v>
      </c>
      <c r="I5" s="2">
        <f t="shared" si="0"/>
        <v>2004</v>
      </c>
      <c r="J5" s="2">
        <f t="shared" si="0"/>
        <v>2005</v>
      </c>
      <c r="K5" s="2">
        <f t="shared" si="0"/>
        <v>2006</v>
      </c>
      <c r="L5" s="2">
        <f t="shared" si="0"/>
        <v>2007</v>
      </c>
      <c r="M5" s="2">
        <f t="shared" si="0"/>
        <v>2008</v>
      </c>
      <c r="N5" s="2">
        <f>M5+1</f>
        <v>2009</v>
      </c>
      <c r="O5" s="2">
        <f t="shared" si="0"/>
        <v>2010</v>
      </c>
      <c r="P5" s="1" t="s">
        <v>45</v>
      </c>
    </row>
    <row r="6" ht="11.25">
      <c r="A6" s="2" t="s">
        <v>157</v>
      </c>
    </row>
    <row r="7" spans="2:16" ht="11.25">
      <c r="B7" s="2" t="s">
        <v>57</v>
      </c>
      <c r="E7" s="63">
        <f>Mkt_00*((Mkt_10/Mkt_00)^(0.1*(Year-BaseYear)))*(1-(Mkt_RF_fr_00+(Year-BaseYear)*((Mkt_RF_fr_10-Mkt_RF_fr_00)/10)))</f>
        <v>2905</v>
      </c>
      <c r="F7" s="63">
        <f aca="true" t="shared" si="1" ref="F7:O7">Mkt_00*((Mkt_10/Mkt_00)^(0.1*(Year-BaseYear)))*(1-(Mkt_RF_fr_00+(Year-BaseYear)*((Mkt_RF_fr_10-Mkt_RF_fr_00)/10)))</f>
        <v>2950.2193614404637</v>
      </c>
      <c r="G7" s="63">
        <f t="shared" si="1"/>
        <v>2995.8588183754523</v>
      </c>
      <c r="H7" s="63">
        <f t="shared" si="1"/>
        <v>3041.910465118767</v>
      </c>
      <c r="I7" s="63">
        <f t="shared" si="1"/>
        <v>3088.36572149161</v>
      </c>
      <c r="J7" s="63">
        <f t="shared" si="1"/>
        <v>3135.21530361154</v>
      </c>
      <c r="K7" s="63">
        <f t="shared" si="1"/>
        <v>3182.4491936314553</v>
      </c>
      <c r="L7" s="63">
        <f t="shared" si="1"/>
        <v>3230.056608394086</v>
      </c>
      <c r="M7" s="63">
        <f t="shared" si="1"/>
        <v>3278.025966966398</v>
      </c>
      <c r="N7" s="63">
        <f t="shared" si="1"/>
        <v>3326.3448570171818</v>
      </c>
      <c r="O7" s="63">
        <f t="shared" si="1"/>
        <v>3375</v>
      </c>
      <c r="P7" s="1" t="s">
        <v>81</v>
      </c>
    </row>
    <row r="8" spans="2:16" ht="11.25">
      <c r="B8" s="2" t="s">
        <v>58</v>
      </c>
      <c r="E8" s="63">
        <f>Mkt_00*((Mkt_10/Mkt_00)^(0.1*(Year-BaseYear)))*((Mkt_RF_fr_00+(Year-BaseYear)*((Mkt_RF_fr_10-Mkt_RF_fr_00)/10)))</f>
        <v>595</v>
      </c>
      <c r="F8" s="63">
        <f aca="true" t="shared" si="2" ref="F8:O8">Mkt_00*((Mkt_10/Mkt_00)^(0.1*(Year-BaseYear)))*((Mkt_RF_fr_00+(Year-BaseYear)*((Mkt_RF_fr_10-Mkt_RF_fr_00)/10)))</f>
        <v>638.8552875138718</v>
      </c>
      <c r="G8" s="63">
        <f t="shared" si="2"/>
        <v>684.5574204150296</v>
      </c>
      <c r="H8" s="63">
        <f t="shared" si="2"/>
        <v>732.171997807743</v>
      </c>
      <c r="I8" s="63">
        <f t="shared" si="2"/>
        <v>781.766761580583</v>
      </c>
      <c r="J8" s="63">
        <f t="shared" si="2"/>
        <v>833.4116629853462</v>
      </c>
      <c r="K8" s="63">
        <f t="shared" si="2"/>
        <v>887.178931216953</v>
      </c>
      <c r="L8" s="63">
        <f t="shared" si="2"/>
        <v>943.1431440530537</v>
      </c>
      <c r="M8" s="63">
        <f t="shared" si="2"/>
        <v>1001.3813006137559</v>
      </c>
      <c r="N8" s="63">
        <f t="shared" si="2"/>
        <v>1061.9728963036384</v>
      </c>
      <c r="O8" s="63">
        <f t="shared" si="2"/>
        <v>1125</v>
      </c>
      <c r="P8" s="1" t="s">
        <v>82</v>
      </c>
    </row>
    <row r="9" spans="5:15" ht="11.25"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ht="11.25">
      <c r="A10" s="2" t="s">
        <v>156</v>
      </c>
    </row>
    <row r="11" spans="2:16" ht="11.25">
      <c r="B11" s="2" t="s">
        <v>0</v>
      </c>
      <c r="E11" s="63">
        <f>c_Mkt_Static*MS_00_DSt*(1+MS_gr_DSt)^(Year-BaseYear)*(Year&lt;=Yr_DSt_stop)*(c_units_static_new=0)</f>
        <v>290.5</v>
      </c>
      <c r="F11" s="63">
        <f aca="true" t="shared" si="3" ref="F11:O11">c_Mkt_Static*MS_00_DSt*(1+MS_gr_DSt)^(Year-BaseYear)*(Year&lt;=Yr_DSt_stop)*(c_units_static_new=0)</f>
        <v>236.01754891523711</v>
      </c>
      <c r="G11" s="63">
        <f t="shared" si="3"/>
        <v>191.73496437602898</v>
      </c>
      <c r="H11" s="63">
        <f t="shared" si="3"/>
        <v>155.7458158140809</v>
      </c>
      <c r="I11" s="63">
        <f t="shared" si="3"/>
        <v>0</v>
      </c>
      <c r="J11" s="63">
        <f t="shared" si="3"/>
        <v>0</v>
      </c>
      <c r="K11" s="63">
        <f t="shared" si="3"/>
        <v>0</v>
      </c>
      <c r="L11" s="63">
        <f t="shared" si="3"/>
        <v>0</v>
      </c>
      <c r="M11" s="63">
        <f t="shared" si="3"/>
        <v>0</v>
      </c>
      <c r="N11" s="63">
        <f t="shared" si="3"/>
        <v>0</v>
      </c>
      <c r="O11" s="63">
        <f t="shared" si="3"/>
        <v>0</v>
      </c>
      <c r="P11" s="1" t="s">
        <v>83</v>
      </c>
    </row>
    <row r="12" spans="2:16" ht="11.25">
      <c r="B12" s="2" t="s">
        <v>59</v>
      </c>
      <c r="E12" s="63">
        <f aca="true" t="shared" si="4" ref="E12:O12">c_Mkt_Static*MS_pk_DStn*MAX(0,MIN(1,(Year-Startyr_DStn)/Yrs_to_pk_DStn))*MAX(0,MIN(1,1-(1+Year-Startyr_DStn-Yrs_to_pk_DStn-Yrs_at_pk_DStn)/Yrs_to_0_DStn))*(3=Alternative)*("yes"=tech_succ_DStn)</f>
        <v>0</v>
      </c>
      <c r="F12" s="63">
        <f t="shared" si="4"/>
        <v>0</v>
      </c>
      <c r="G12" s="63">
        <f t="shared" si="4"/>
        <v>0</v>
      </c>
      <c r="H12" s="63">
        <f t="shared" si="4"/>
        <v>0</v>
      </c>
      <c r="I12" s="63">
        <f t="shared" si="4"/>
        <v>205.8910480994407</v>
      </c>
      <c r="J12" s="63">
        <f t="shared" si="4"/>
        <v>418.02870714820534</v>
      </c>
      <c r="K12" s="63">
        <f t="shared" si="4"/>
        <v>636.489838726291</v>
      </c>
      <c r="L12" s="63">
        <f t="shared" si="4"/>
        <v>646.0113216788172</v>
      </c>
      <c r="M12" s="63">
        <f t="shared" si="4"/>
        <v>655.6051933932796</v>
      </c>
      <c r="N12" s="63">
        <f t="shared" si="4"/>
        <v>665.2689714034364</v>
      </c>
      <c r="O12" s="63">
        <f t="shared" si="4"/>
        <v>675</v>
      </c>
      <c r="P12" s="1" t="s">
        <v>84</v>
      </c>
    </row>
    <row r="13" spans="2:16" ht="11.25">
      <c r="B13" s="2" t="s">
        <v>1</v>
      </c>
      <c r="E13" s="63">
        <f>c_Mkt_RF*MS_00_DRF*(1+MS_gr_DRF)^(Year-BaseYear)*(Year&lt;=Yr_DRF_stop)*(c_units_rf_plus=0)</f>
        <v>238</v>
      </c>
      <c r="F13" s="63">
        <f aca="true" t="shared" si="5" ref="F13:O13">c_Mkt_RF*MS_00_DRF*(1+MS_gr_DRF)^(Year-BaseYear)*(Year&lt;=Yr_DRF_stop)*(c_units_rf_plus=0)</f>
        <v>229.98790350499385</v>
      </c>
      <c r="G13" s="63">
        <f t="shared" si="5"/>
        <v>221.7966042144696</v>
      </c>
      <c r="H13" s="63">
        <f t="shared" si="5"/>
        <v>213.50135456073787</v>
      </c>
      <c r="I13" s="63">
        <f t="shared" si="5"/>
        <v>205.16686890920823</v>
      </c>
      <c r="J13" s="63">
        <f t="shared" si="5"/>
        <v>196.84850115048692</v>
      </c>
      <c r="K13" s="63">
        <f t="shared" si="5"/>
        <v>188.59330335394753</v>
      </c>
      <c r="L13" s="63">
        <f>c_Mkt_RF*MS_00_DRF*(1+MS_gr_DRF)^(Year-BaseYear)*(Year&lt;=Yr_DRF_stop)*(c_units_rf_plus=0)</f>
        <v>180.44097682273164</v>
      </c>
      <c r="M13" s="63">
        <f t="shared" si="5"/>
        <v>172.42472584854997</v>
      </c>
      <c r="N13" s="63">
        <f t="shared" si="5"/>
        <v>0</v>
      </c>
      <c r="O13" s="63">
        <f t="shared" si="5"/>
        <v>0</v>
      </c>
      <c r="P13" s="1" t="s">
        <v>85</v>
      </c>
    </row>
    <row r="14" spans="2:16" ht="11.25">
      <c r="B14" s="2" t="s">
        <v>25</v>
      </c>
      <c r="E14" s="63">
        <f aca="true" t="shared" si="6" ref="E14:O14">c_Mkt_RF*MS_pk_DRFp*MAX(0,MIN(1,(Year-Startyr_DRFp)/Yrs_to_pk_DRFp))*MAX(0,MIN(1,1-(1+Year-Startyr_DRFp-Yrs_to_pk_DRFp-Yrs_at_pk_DRFp)/Yrs_to_0_DRFp))*(2=Alternative)</f>
        <v>0</v>
      </c>
      <c r="F14" s="63">
        <f t="shared" si="6"/>
        <v>0</v>
      </c>
      <c r="G14" s="63">
        <f t="shared" si="6"/>
        <v>0</v>
      </c>
      <c r="H14" s="63">
        <f t="shared" si="6"/>
        <v>0</v>
      </c>
      <c r="I14" s="63">
        <f t="shared" si="6"/>
        <v>0</v>
      </c>
      <c r="J14" s="63">
        <f t="shared" si="6"/>
        <v>0</v>
      </c>
      <c r="K14" s="63">
        <f t="shared" si="6"/>
        <v>0</v>
      </c>
      <c r="L14" s="63">
        <f t="shared" si="6"/>
        <v>0</v>
      </c>
      <c r="M14" s="63">
        <f t="shared" si="6"/>
        <v>0</v>
      </c>
      <c r="N14" s="63">
        <f t="shared" si="6"/>
        <v>0</v>
      </c>
      <c r="O14" s="63">
        <f t="shared" si="6"/>
        <v>0</v>
      </c>
      <c r="P14" s="1" t="s">
        <v>148</v>
      </c>
    </row>
    <row r="16" ht="11.25">
      <c r="A16" s="2" t="s">
        <v>89</v>
      </c>
    </row>
    <row r="17" spans="2:16" ht="11.25">
      <c r="B17" s="2" t="s">
        <v>0</v>
      </c>
      <c r="E17" s="63">
        <f>ASP_00_DSt*(1+ASP_gr_DSt)^(Year-BaseYear)*c_units_static/1000</f>
        <v>2759.75</v>
      </c>
      <c r="F17" s="63">
        <f aca="true" t="shared" si="7" ref="F17:O17">ASP_00_DSt*(1+ASP_gr_DSt)^(Year-BaseYear)*c_units_static/1000</f>
        <v>2242.1667146947525</v>
      </c>
      <c r="G17" s="63">
        <f t="shared" si="7"/>
        <v>1821.4821615722753</v>
      </c>
      <c r="H17" s="63">
        <f t="shared" si="7"/>
        <v>1479.5852502337686</v>
      </c>
      <c r="I17" s="63">
        <f t="shared" si="7"/>
        <v>0</v>
      </c>
      <c r="J17" s="63">
        <f t="shared" si="7"/>
        <v>0</v>
      </c>
      <c r="K17" s="63">
        <f t="shared" si="7"/>
        <v>0</v>
      </c>
      <c r="L17" s="63">
        <f t="shared" si="7"/>
        <v>0</v>
      </c>
      <c r="M17" s="63">
        <f t="shared" si="7"/>
        <v>0</v>
      </c>
      <c r="N17" s="63">
        <f t="shared" si="7"/>
        <v>0</v>
      </c>
      <c r="O17" s="63">
        <f t="shared" si="7"/>
        <v>0</v>
      </c>
      <c r="P17" s="1" t="s">
        <v>88</v>
      </c>
    </row>
    <row r="18" spans="2:16" ht="11.25">
      <c r="B18" s="2" t="s">
        <v>59</v>
      </c>
      <c r="E18" s="63">
        <f>ASP_sy_DStn*(1+ASP_gr_DStn)^(Year-Startyr_DStn)*c_units_static_new/1000</f>
        <v>0</v>
      </c>
      <c r="F18" s="63">
        <f aca="true" t="shared" si="8" ref="F18:O18">ASP_sy_DStn*(1+ASP_gr_DStn)^(Year-Startyr_DStn)*c_units_static_new/1000</f>
        <v>0</v>
      </c>
      <c r="G18" s="63">
        <f t="shared" si="8"/>
        <v>0</v>
      </c>
      <c r="H18" s="63">
        <f t="shared" si="8"/>
        <v>0</v>
      </c>
      <c r="I18" s="63">
        <f t="shared" si="8"/>
        <v>2882.4746733921697</v>
      </c>
      <c r="J18" s="63">
        <f t="shared" si="8"/>
        <v>5852.401900074875</v>
      </c>
      <c r="K18" s="63">
        <f t="shared" si="8"/>
        <v>8910.857742168075</v>
      </c>
      <c r="L18" s="63">
        <f t="shared" si="8"/>
        <v>9044.158503503442</v>
      </c>
      <c r="M18" s="63">
        <f t="shared" si="8"/>
        <v>9178.472707505913</v>
      </c>
      <c r="N18" s="63">
        <f t="shared" si="8"/>
        <v>9313.765599648108</v>
      </c>
      <c r="O18" s="63">
        <f t="shared" si="8"/>
        <v>9450</v>
      </c>
      <c r="P18" s="1" t="s">
        <v>86</v>
      </c>
    </row>
    <row r="19" spans="2:16" ht="11.25">
      <c r="B19" s="2" t="s">
        <v>1</v>
      </c>
      <c r="E19" s="63">
        <f>ASP_00_DRF*(1+ASP_gr_DRF)^(Year-BaseYear)*c_units_rf/1000</f>
        <v>4046</v>
      </c>
      <c r="F19" s="63">
        <f aca="true" t="shared" si="9" ref="F19:O19">ASP_00_DRF*(1+ASP_gr_DRF)^(Year-BaseYear)*c_units_rf/1000</f>
        <v>3909.7943595848956</v>
      </c>
      <c r="G19" s="63">
        <f t="shared" si="9"/>
        <v>3770.5422716459834</v>
      </c>
      <c r="H19" s="63">
        <f t="shared" si="9"/>
        <v>3629.5230275325434</v>
      </c>
      <c r="I19" s="63">
        <f t="shared" si="9"/>
        <v>3487.83677145654</v>
      </c>
      <c r="J19" s="63">
        <f t="shared" si="9"/>
        <v>3346.424519558278</v>
      </c>
      <c r="K19" s="63">
        <f t="shared" si="9"/>
        <v>3206.0861570171082</v>
      </c>
      <c r="L19" s="63">
        <f t="shared" si="9"/>
        <v>3067.4966059864378</v>
      </c>
      <c r="M19" s="63">
        <f t="shared" si="9"/>
        <v>2931.2203394253497</v>
      </c>
      <c r="N19" s="63">
        <f t="shared" si="9"/>
        <v>0</v>
      </c>
      <c r="O19" s="63">
        <f t="shared" si="9"/>
        <v>0</v>
      </c>
      <c r="P19" s="1" t="s">
        <v>87</v>
      </c>
    </row>
    <row r="20" spans="2:16" ht="11.25">
      <c r="B20" s="2" t="s">
        <v>25</v>
      </c>
      <c r="E20" s="63">
        <f>ASP_sy_DRFp*(1+ASP_gr_DRFp)^(Year-Startyr_DRFp)*c_units_rf_plus/1000</f>
        <v>0</v>
      </c>
      <c r="F20" s="63">
        <f aca="true" t="shared" si="10" ref="F20:O20">ASP_sy_DRFp*(1+ASP_gr_DRFp)^(Year-Startyr_DRFp)*c_units_rf_plus/1000</f>
        <v>0</v>
      </c>
      <c r="G20" s="63">
        <f t="shared" si="10"/>
        <v>0</v>
      </c>
      <c r="H20" s="63">
        <f t="shared" si="10"/>
        <v>0</v>
      </c>
      <c r="I20" s="63">
        <f t="shared" si="10"/>
        <v>0</v>
      </c>
      <c r="J20" s="63">
        <f t="shared" si="10"/>
        <v>0</v>
      </c>
      <c r="K20" s="63">
        <f t="shared" si="10"/>
        <v>0</v>
      </c>
      <c r="L20" s="63">
        <f t="shared" si="10"/>
        <v>0</v>
      </c>
      <c r="M20" s="63">
        <f t="shared" si="10"/>
        <v>0</v>
      </c>
      <c r="N20" s="63">
        <f t="shared" si="10"/>
        <v>0</v>
      </c>
      <c r="O20" s="63">
        <f t="shared" si="10"/>
        <v>0</v>
      </c>
      <c r="P20" s="1" t="s">
        <v>149</v>
      </c>
    </row>
    <row r="22" ht="11.25">
      <c r="A22" s="2" t="s">
        <v>90</v>
      </c>
    </row>
    <row r="23" spans="2:16" ht="11.25">
      <c r="B23" s="2" t="s">
        <v>0</v>
      </c>
      <c r="E23" s="63">
        <f>COGS_00_DSt*(1+COGS_gr_DSt)^(Year-BaseYear)*c_units_static/1000</f>
        <v>1307.25</v>
      </c>
      <c r="F23" s="63">
        <f aca="true" t="shared" si="11" ref="F23:O23">COGS_00_DSt*(1+COGS_gr_DSt)^(Year-BaseYear)*c_units_static/1000</f>
        <v>1083.3205495209384</v>
      </c>
      <c r="G23" s="63">
        <f t="shared" si="11"/>
        <v>897.6647562156925</v>
      </c>
      <c r="H23" s="63">
        <f t="shared" si="11"/>
        <v>743.7541756879313</v>
      </c>
      <c r="I23" s="63">
        <f t="shared" si="11"/>
        <v>0</v>
      </c>
      <c r="J23" s="63">
        <f t="shared" si="11"/>
        <v>0</v>
      </c>
      <c r="K23" s="63">
        <f t="shared" si="11"/>
        <v>0</v>
      </c>
      <c r="L23" s="63">
        <f t="shared" si="11"/>
        <v>0</v>
      </c>
      <c r="M23" s="63">
        <f t="shared" si="11"/>
        <v>0</v>
      </c>
      <c r="N23" s="63">
        <f t="shared" si="11"/>
        <v>0</v>
      </c>
      <c r="O23" s="63">
        <f t="shared" si="11"/>
        <v>0</v>
      </c>
      <c r="P23" s="1" t="s">
        <v>94</v>
      </c>
    </row>
    <row r="24" spans="2:16" ht="11.25">
      <c r="B24" s="2" t="s">
        <v>59</v>
      </c>
      <c r="E24" s="63">
        <f>COGS_sy_DStn*(1+COGS_gr_DStn)^(Year-Startyr_DStn)*c_units_static_new/1000</f>
        <v>0</v>
      </c>
      <c r="F24" s="63">
        <f aca="true" t="shared" si="12" ref="F24:O24">COGS_sy_DStn*(1+COGS_gr_DStn)^(Year-Startyr_DStn)*c_units_static_new/1000</f>
        <v>0</v>
      </c>
      <c r="G24" s="63">
        <f t="shared" si="12"/>
        <v>0</v>
      </c>
      <c r="H24" s="63">
        <f t="shared" si="12"/>
        <v>0</v>
      </c>
      <c r="I24" s="63">
        <f t="shared" si="12"/>
        <v>1008.0425714948616</v>
      </c>
      <c r="J24" s="63">
        <f t="shared" si="12"/>
        <v>2087.601921201566</v>
      </c>
      <c r="K24" s="63">
        <f t="shared" si="12"/>
        <v>3242.150922120239</v>
      </c>
      <c r="L24" s="63">
        <f t="shared" si="12"/>
        <v>3356.4644654844333</v>
      </c>
      <c r="M24" s="63">
        <f t="shared" si="12"/>
        <v>3474.4373208179686</v>
      </c>
      <c r="N24" s="63">
        <f t="shared" si="12"/>
        <v>3596.1643886254406</v>
      </c>
      <c r="O24" s="63">
        <f t="shared" si="12"/>
        <v>3721.7415631836666</v>
      </c>
      <c r="P24" s="1" t="s">
        <v>91</v>
      </c>
    </row>
    <row r="25" spans="2:16" ht="11.25">
      <c r="B25" s="2" t="s">
        <v>1</v>
      </c>
      <c r="E25" s="63">
        <f>COGS_00_DRF*(1+COGS_gr_DRF)^(Year-BaseYear)*c_units_rf/1000</f>
        <v>1071</v>
      </c>
      <c r="F25" s="63">
        <f aca="true" t="shared" si="13" ref="F25:O25">COGS_00_DRF*(1+COGS_gr_DRF)^(Year-BaseYear)*c_units_rf/1000</f>
        <v>1055.6444770879216</v>
      </c>
      <c r="G25" s="63">
        <f t="shared" si="13"/>
        <v>1038.4073416113038</v>
      </c>
      <c r="H25" s="63">
        <f t="shared" si="13"/>
        <v>1019.5620546181117</v>
      </c>
      <c r="I25" s="63">
        <f t="shared" si="13"/>
        <v>999.3564768322399</v>
      </c>
      <c r="J25" s="63">
        <f t="shared" si="13"/>
        <v>978.0149306652557</v>
      </c>
      <c r="K25" s="63">
        <f t="shared" si="13"/>
        <v>955.7401084293195</v>
      </c>
      <c r="L25" s="63">
        <f t="shared" si="13"/>
        <v>932.7148376980847</v>
      </c>
      <c r="M25" s="63">
        <f t="shared" si="13"/>
        <v>909.1037140073882</v>
      </c>
      <c r="N25" s="63">
        <f t="shared" si="13"/>
        <v>0</v>
      </c>
      <c r="O25" s="63">
        <f t="shared" si="13"/>
        <v>0</v>
      </c>
      <c r="P25" s="1" t="s">
        <v>92</v>
      </c>
    </row>
    <row r="26" spans="2:16" ht="11.25">
      <c r="B26" s="2" t="s">
        <v>25</v>
      </c>
      <c r="E26" s="63">
        <f>COGS_sy_DRFp*(1+COGS_gr_DRFp)^(Year-Startyr_DRFp)*c_units_rf_plus/1000</f>
        <v>0</v>
      </c>
      <c r="F26" s="63">
        <f aca="true" t="shared" si="14" ref="F26:O26">COGS_sy_DRFp*(1+COGS_gr_DRFp)^(Year-Startyr_DRFp)*c_units_rf_plus/1000</f>
        <v>0</v>
      </c>
      <c r="G26" s="63">
        <f t="shared" si="14"/>
        <v>0</v>
      </c>
      <c r="H26" s="63">
        <f t="shared" si="14"/>
        <v>0</v>
      </c>
      <c r="I26" s="63">
        <f t="shared" si="14"/>
        <v>0</v>
      </c>
      <c r="J26" s="63">
        <f t="shared" si="14"/>
        <v>0</v>
      </c>
      <c r="K26" s="63">
        <f t="shared" si="14"/>
        <v>0</v>
      </c>
      <c r="L26" s="63">
        <f t="shared" si="14"/>
        <v>0</v>
      </c>
      <c r="M26" s="63">
        <f t="shared" si="14"/>
        <v>0</v>
      </c>
      <c r="N26" s="63">
        <f t="shared" si="14"/>
        <v>0</v>
      </c>
      <c r="O26" s="63">
        <f t="shared" si="14"/>
        <v>0</v>
      </c>
      <c r="P26" s="1" t="s">
        <v>93</v>
      </c>
    </row>
    <row r="28" ht="11.25">
      <c r="A28" s="2" t="s">
        <v>105</v>
      </c>
    </row>
    <row r="29" spans="1:15" ht="11.25">
      <c r="A29" s="64"/>
      <c r="B29" s="64" t="s">
        <v>56</v>
      </c>
      <c r="D29" s="63"/>
      <c r="E29" s="63">
        <f aca="true" t="shared" si="15" ref="E29:O29">SUM(E17:E20)</f>
        <v>6805.75</v>
      </c>
      <c r="F29" s="63">
        <f t="shared" si="15"/>
        <v>6151.9610742796485</v>
      </c>
      <c r="G29" s="63">
        <f t="shared" si="15"/>
        <v>5592.024433218259</v>
      </c>
      <c r="H29" s="63">
        <f t="shared" si="15"/>
        <v>5109.108277766312</v>
      </c>
      <c r="I29" s="63">
        <f t="shared" si="15"/>
        <v>6370.31144484871</v>
      </c>
      <c r="J29" s="63">
        <f t="shared" si="15"/>
        <v>9198.826419633153</v>
      </c>
      <c r="K29" s="63">
        <f t="shared" si="15"/>
        <v>12116.943899185182</v>
      </c>
      <c r="L29" s="63">
        <f t="shared" si="15"/>
        <v>12111.65510948988</v>
      </c>
      <c r="M29" s="63">
        <f t="shared" si="15"/>
        <v>12109.693046931263</v>
      </c>
      <c r="N29" s="63">
        <f t="shared" si="15"/>
        <v>9313.765599648108</v>
      </c>
      <c r="O29" s="63">
        <f t="shared" si="15"/>
        <v>9450</v>
      </c>
    </row>
    <row r="30" spans="1:15" ht="11.25">
      <c r="A30" s="64"/>
      <c r="B30" s="64" t="s">
        <v>95</v>
      </c>
      <c r="D30" s="63"/>
      <c r="E30" s="63">
        <f aca="true" t="shared" si="16" ref="E30:O30">SUM(E23:E26)</f>
        <v>2378.25</v>
      </c>
      <c r="F30" s="63">
        <f t="shared" si="16"/>
        <v>2138.96502660886</v>
      </c>
      <c r="G30" s="63">
        <f t="shared" si="16"/>
        <v>1936.0720978269962</v>
      </c>
      <c r="H30" s="63">
        <f t="shared" si="16"/>
        <v>1763.316230306043</v>
      </c>
      <c r="I30" s="63">
        <f t="shared" si="16"/>
        <v>2007.3990483271014</v>
      </c>
      <c r="J30" s="63">
        <f t="shared" si="16"/>
        <v>3065.6168518668214</v>
      </c>
      <c r="K30" s="63">
        <f t="shared" si="16"/>
        <v>4197.891030549558</v>
      </c>
      <c r="L30" s="63">
        <f t="shared" si="16"/>
        <v>4289.179303182518</v>
      </c>
      <c r="M30" s="63">
        <f t="shared" si="16"/>
        <v>4383.541034825357</v>
      </c>
      <c r="N30" s="63">
        <f t="shared" si="16"/>
        <v>3596.1643886254406</v>
      </c>
      <c r="O30" s="63">
        <f t="shared" si="16"/>
        <v>3721.7415631836666</v>
      </c>
    </row>
    <row r="31" spans="1:15" ht="11.25">
      <c r="A31" s="64"/>
      <c r="B31" s="64" t="s">
        <v>26</v>
      </c>
      <c r="D31" s="63"/>
      <c r="E31" s="63">
        <f>E29-E30</f>
        <v>4427.5</v>
      </c>
      <c r="F31" s="63">
        <f aca="true" t="shared" si="17" ref="F31:O31">F29-F30</f>
        <v>4012.9960476707884</v>
      </c>
      <c r="G31" s="63">
        <f t="shared" si="17"/>
        <v>3655.9523353912627</v>
      </c>
      <c r="H31" s="63">
        <f t="shared" si="17"/>
        <v>3345.7920474602693</v>
      </c>
      <c r="I31" s="63">
        <f t="shared" si="17"/>
        <v>4362.9123965216095</v>
      </c>
      <c r="J31" s="63">
        <f t="shared" si="17"/>
        <v>6133.209567766331</v>
      </c>
      <c r="K31" s="63">
        <f t="shared" si="17"/>
        <v>7919.052868635624</v>
      </c>
      <c r="L31" s="63">
        <f t="shared" si="17"/>
        <v>7822.475806307362</v>
      </c>
      <c r="M31" s="63">
        <f t="shared" si="17"/>
        <v>7726.152012105906</v>
      </c>
      <c r="N31" s="63">
        <f t="shared" si="17"/>
        <v>5717.6012110226675</v>
      </c>
      <c r="O31" s="63">
        <f t="shared" si="17"/>
        <v>5728.258436816333</v>
      </c>
    </row>
    <row r="32" spans="1:15" ht="11.25">
      <c r="A32" s="64"/>
      <c r="B32" s="64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15" ht="11.25">
      <c r="A33" s="64"/>
      <c r="B33" s="64" t="s">
        <v>34</v>
      </c>
      <c r="D33" s="63"/>
      <c r="E33" s="63">
        <f>SGA*SUM(E17:E20)</f>
        <v>680.575</v>
      </c>
      <c r="F33" s="63">
        <f aca="true" t="shared" si="18" ref="F33:O33">SGA*SUM(F17:F20)</f>
        <v>615.1961074279649</v>
      </c>
      <c r="G33" s="63">
        <f t="shared" si="18"/>
        <v>559.202443321826</v>
      </c>
      <c r="H33" s="63">
        <f t="shared" si="18"/>
        <v>510.91082777663127</v>
      </c>
      <c r="I33" s="63">
        <f t="shared" si="18"/>
        <v>637.0311444848711</v>
      </c>
      <c r="J33" s="63">
        <f t="shared" si="18"/>
        <v>919.8826419633153</v>
      </c>
      <c r="K33" s="63">
        <f t="shared" si="18"/>
        <v>1211.6943899185183</v>
      </c>
      <c r="L33" s="63">
        <f t="shared" si="18"/>
        <v>1211.1655109489882</v>
      </c>
      <c r="M33" s="63">
        <f t="shared" si="18"/>
        <v>1210.9693046931263</v>
      </c>
      <c r="N33" s="63">
        <f t="shared" si="18"/>
        <v>931.3765599648109</v>
      </c>
      <c r="O33" s="63">
        <f t="shared" si="18"/>
        <v>945</v>
      </c>
    </row>
    <row r="34" spans="1:15" ht="11.25">
      <c r="A34" s="64"/>
      <c r="B34" s="64" t="s">
        <v>96</v>
      </c>
      <c r="D34" s="63"/>
      <c r="E34" s="63">
        <f aca="true" t="shared" si="19" ref="E34:O34">RD_DRFp*(Alternative=2)+(Alternative=3)*(RD_pre_DStn+RD_post_DStn*("yes"=tech_succ_DStn))</f>
        <v>1800</v>
      </c>
      <c r="F34" s="63">
        <f t="shared" si="19"/>
        <v>2200</v>
      </c>
      <c r="G34" s="63">
        <f t="shared" si="19"/>
        <v>1900</v>
      </c>
      <c r="H34" s="63">
        <f t="shared" si="19"/>
        <v>1100</v>
      </c>
      <c r="I34" s="63">
        <f t="shared" si="19"/>
        <v>0</v>
      </c>
      <c r="J34" s="63">
        <f t="shared" si="19"/>
        <v>0</v>
      </c>
      <c r="K34" s="63">
        <f t="shared" si="19"/>
        <v>0</v>
      </c>
      <c r="L34" s="63">
        <f t="shared" si="19"/>
        <v>0</v>
      </c>
      <c r="M34" s="63">
        <f t="shared" si="19"/>
        <v>0</v>
      </c>
      <c r="N34" s="63">
        <f t="shared" si="19"/>
        <v>0</v>
      </c>
      <c r="O34" s="63">
        <f t="shared" si="19"/>
        <v>0</v>
      </c>
    </row>
    <row r="35" spans="1:15" ht="11.25">
      <c r="A35" s="64"/>
      <c r="B35" s="64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11.25">
      <c r="A36" s="64"/>
      <c r="B36" s="64" t="s">
        <v>97</v>
      </c>
      <c r="D36" s="63"/>
      <c r="E36" s="63">
        <f>E31-E33-E34</f>
        <v>1946.9250000000002</v>
      </c>
      <c r="F36" s="63">
        <f aca="true" t="shared" si="20" ref="F36:O36">F31-F33-F34</f>
        <v>1197.7999402428236</v>
      </c>
      <c r="G36" s="63">
        <f t="shared" si="20"/>
        <v>1196.749892069437</v>
      </c>
      <c r="H36" s="63">
        <f t="shared" si="20"/>
        <v>1734.881219683638</v>
      </c>
      <c r="I36" s="63">
        <f t="shared" si="20"/>
        <v>3725.8812520367383</v>
      </c>
      <c r="J36" s="63">
        <f t="shared" si="20"/>
        <v>5213.326925803016</v>
      </c>
      <c r="K36" s="63">
        <f t="shared" si="20"/>
        <v>6707.358478717106</v>
      </c>
      <c r="L36" s="63">
        <f t="shared" si="20"/>
        <v>6611.310295358374</v>
      </c>
      <c r="M36" s="63">
        <f t="shared" si="20"/>
        <v>6515.18270741278</v>
      </c>
      <c r="N36" s="63">
        <f t="shared" si="20"/>
        <v>4786.224651057857</v>
      </c>
      <c r="O36" s="63">
        <f t="shared" si="20"/>
        <v>4783.258436816333</v>
      </c>
    </row>
    <row r="37" spans="1:15" ht="11.25">
      <c r="A37" s="64"/>
      <c r="B37" s="64" t="s">
        <v>98</v>
      </c>
      <c r="D37" s="63"/>
      <c r="E37" s="63">
        <f>Calculations!E36*TaxRate</f>
        <v>739.8315000000001</v>
      </c>
      <c r="F37" s="63">
        <f>Calculations!F36*TaxRate</f>
        <v>455.163977292273</v>
      </c>
      <c r="G37" s="63">
        <f>Calculations!G36*TaxRate</f>
        <v>454.7649589863861</v>
      </c>
      <c r="H37" s="63">
        <f>Calculations!H36*TaxRate</f>
        <v>659.2548634797824</v>
      </c>
      <c r="I37" s="63">
        <f>Calculations!I36*TaxRate</f>
        <v>1415.8348757739604</v>
      </c>
      <c r="J37" s="63">
        <f>Calculations!J36*TaxRate</f>
        <v>1981.0642318051462</v>
      </c>
      <c r="K37" s="63">
        <f>Calculations!K36*TaxRate</f>
        <v>2548.7962219125</v>
      </c>
      <c r="L37" s="63">
        <f>Calculations!L36*TaxRate</f>
        <v>2512.297912236182</v>
      </c>
      <c r="M37" s="63">
        <f>Calculations!M36*TaxRate</f>
        <v>2475.7694288168564</v>
      </c>
      <c r="N37" s="63">
        <f>Calculations!N36*TaxRate</f>
        <v>1818.7653674019857</v>
      </c>
      <c r="O37" s="63">
        <f>Calculations!O36*TaxRate</f>
        <v>1817.6382059902066</v>
      </c>
    </row>
    <row r="38" spans="1:15" ht="11.25">
      <c r="A38" s="64"/>
      <c r="B38" s="64" t="s">
        <v>99</v>
      </c>
      <c r="D38" s="63"/>
      <c r="E38" s="63">
        <f>E36-E37</f>
        <v>1207.0935</v>
      </c>
      <c r="F38" s="63">
        <f aca="true" t="shared" si="21" ref="F38:O38">F36-F37</f>
        <v>742.6359629505506</v>
      </c>
      <c r="G38" s="63">
        <f t="shared" si="21"/>
        <v>741.9849330830509</v>
      </c>
      <c r="H38" s="63">
        <f t="shared" si="21"/>
        <v>1075.6263562038555</v>
      </c>
      <c r="I38" s="63">
        <f t="shared" si="21"/>
        <v>2310.046376262778</v>
      </c>
      <c r="J38" s="63">
        <f t="shared" si="21"/>
        <v>3232.26269399787</v>
      </c>
      <c r="K38" s="63">
        <f t="shared" si="21"/>
        <v>4158.562256804606</v>
      </c>
      <c r="L38" s="63">
        <f t="shared" si="21"/>
        <v>4099.012383122192</v>
      </c>
      <c r="M38" s="63">
        <f t="shared" si="21"/>
        <v>4039.413278595923</v>
      </c>
      <c r="N38" s="63">
        <f t="shared" si="21"/>
        <v>2967.4592836558713</v>
      </c>
      <c r="O38" s="63">
        <f t="shared" si="21"/>
        <v>2965.6202308261268</v>
      </c>
    </row>
    <row r="39" spans="1:15" ht="11.25">
      <c r="A39" s="64"/>
      <c r="B39" s="64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1:15" ht="11.25">
      <c r="A40" s="64"/>
      <c r="B40" s="64" t="s">
        <v>35</v>
      </c>
      <c r="D40" s="63">
        <f>Wcap_99/1000</f>
        <v>3000</v>
      </c>
      <c r="E40" s="63">
        <f>Wcap*Calculations!E29</f>
        <v>1973.6674999999998</v>
      </c>
      <c r="F40" s="63">
        <f>Wcap*Calculations!F29</f>
        <v>1784.0687115410979</v>
      </c>
      <c r="G40" s="63">
        <f>Wcap*Calculations!G29</f>
        <v>1621.687085633295</v>
      </c>
      <c r="H40" s="63">
        <f>Wcap*Calculations!H29</f>
        <v>1481.6414005522304</v>
      </c>
      <c r="I40" s="63">
        <f>Wcap*Calculations!I29</f>
        <v>1847.390319006126</v>
      </c>
      <c r="J40" s="63">
        <f>Wcap*Calculations!J29</f>
        <v>2667.659661693614</v>
      </c>
      <c r="K40" s="63">
        <f>Wcap*Calculations!K29</f>
        <v>3513.9137307637025</v>
      </c>
      <c r="L40" s="63">
        <f>Wcap*Calculations!L29</f>
        <v>3512.3799817520653</v>
      </c>
      <c r="M40" s="63">
        <f>Wcap*Calculations!M29</f>
        <v>3511.810983610066</v>
      </c>
      <c r="N40" s="63">
        <f>Wcap*Calculations!N29</f>
        <v>2700.992023897951</v>
      </c>
      <c r="O40" s="63">
        <f>Wcap*Calculations!O29</f>
        <v>2740.5</v>
      </c>
    </row>
    <row r="41" spans="1:15" ht="11.25">
      <c r="A41" s="64"/>
      <c r="B41" s="64" t="s">
        <v>100</v>
      </c>
      <c r="D41" s="63"/>
      <c r="E41" s="63">
        <f>E40-D40</f>
        <v>-1026.3325000000002</v>
      </c>
      <c r="F41" s="63">
        <f aca="true" t="shared" si="22" ref="F41:O41">F40-E40</f>
        <v>-189.59878845890194</v>
      </c>
      <c r="G41" s="63">
        <f t="shared" si="22"/>
        <v>-162.3816259078028</v>
      </c>
      <c r="H41" s="63">
        <f t="shared" si="22"/>
        <v>-140.04568508106468</v>
      </c>
      <c r="I41" s="63">
        <f t="shared" si="22"/>
        <v>365.7489184538956</v>
      </c>
      <c r="J41" s="63">
        <f t="shared" si="22"/>
        <v>820.269342687488</v>
      </c>
      <c r="K41" s="63">
        <f t="shared" si="22"/>
        <v>846.2540690700885</v>
      </c>
      <c r="L41" s="63">
        <f t="shared" si="22"/>
        <v>-1.5337490116371555</v>
      </c>
      <c r="M41" s="63">
        <f t="shared" si="22"/>
        <v>-0.5689981419991454</v>
      </c>
      <c r="N41" s="63">
        <f t="shared" si="22"/>
        <v>-810.818959712115</v>
      </c>
      <c r="O41" s="63">
        <f t="shared" si="22"/>
        <v>39.507976102048815</v>
      </c>
    </row>
    <row r="42" spans="1:15" ht="11.25">
      <c r="A42" s="64"/>
      <c r="B42" s="64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1:15" ht="11.25">
      <c r="A43" s="64"/>
      <c r="B43" s="64" t="s">
        <v>101</v>
      </c>
      <c r="D43" s="63"/>
      <c r="E43" s="63">
        <f>E38-E41</f>
        <v>2233.4260000000004</v>
      </c>
      <c r="F43" s="63">
        <f aca="true" t="shared" si="23" ref="F43:O43">F38-F41</f>
        <v>932.2347514094525</v>
      </c>
      <c r="G43" s="63">
        <f t="shared" si="23"/>
        <v>904.3665589908537</v>
      </c>
      <c r="H43" s="63">
        <f t="shared" si="23"/>
        <v>1215.6720412849202</v>
      </c>
      <c r="I43" s="63">
        <f t="shared" si="23"/>
        <v>1944.2974578088822</v>
      </c>
      <c r="J43" s="63">
        <f t="shared" si="23"/>
        <v>2411.993351310382</v>
      </c>
      <c r="K43" s="63">
        <f t="shared" si="23"/>
        <v>3312.308187734517</v>
      </c>
      <c r="L43" s="63">
        <f t="shared" si="23"/>
        <v>4100.546132133829</v>
      </c>
      <c r="M43" s="63">
        <f t="shared" si="23"/>
        <v>4039.9822767379223</v>
      </c>
      <c r="N43" s="63">
        <f t="shared" si="23"/>
        <v>3778.2782433679863</v>
      </c>
      <c r="O43" s="63">
        <f t="shared" si="23"/>
        <v>2926.112254724078</v>
      </c>
    </row>
    <row r="44" spans="1:15" ht="11.25">
      <c r="A44" s="64"/>
      <c r="B44" s="64" t="s">
        <v>102</v>
      </c>
      <c r="D44" s="63"/>
      <c r="E44" s="63">
        <f>E43+D44</f>
        <v>2233.4260000000004</v>
      </c>
      <c r="F44" s="63">
        <f aca="true" t="shared" si="24" ref="F44:O44">F43+E44</f>
        <v>3165.660751409453</v>
      </c>
      <c r="G44" s="63">
        <f t="shared" si="24"/>
        <v>4070.0273104003068</v>
      </c>
      <c r="H44" s="63">
        <f t="shared" si="24"/>
        <v>5285.699351685227</v>
      </c>
      <c r="I44" s="63">
        <f t="shared" si="24"/>
        <v>7229.99680949411</v>
      </c>
      <c r="J44" s="63">
        <f t="shared" si="24"/>
        <v>9641.990160804491</v>
      </c>
      <c r="K44" s="63">
        <f t="shared" si="24"/>
        <v>12954.298348539009</v>
      </c>
      <c r="L44" s="63">
        <f t="shared" si="24"/>
        <v>17054.844480672837</v>
      </c>
      <c r="M44" s="63">
        <f t="shared" si="24"/>
        <v>21094.82675741076</v>
      </c>
      <c r="N44" s="63">
        <f t="shared" si="24"/>
        <v>24873.105000778745</v>
      </c>
      <c r="O44" s="63">
        <f t="shared" si="24"/>
        <v>27799.217255502823</v>
      </c>
    </row>
    <row r="45" spans="1:15" ht="11.25">
      <c r="A45" s="64"/>
      <c r="B45" s="64" t="s">
        <v>103</v>
      </c>
      <c r="D45" s="63"/>
      <c r="E45" s="63">
        <f>E43/(1+DiscountRate)^(Year-BaseYear)</f>
        <v>2233.4260000000004</v>
      </c>
      <c r="F45" s="63">
        <f aca="true" t="shared" si="25" ref="F45:O45">F43/(1+DiscountRate)^(Year-BaseYear)</f>
        <v>847.4861376449568</v>
      </c>
      <c r="G45" s="63">
        <f t="shared" si="25"/>
        <v>747.4103793312839</v>
      </c>
      <c r="H45" s="63">
        <f t="shared" si="25"/>
        <v>913.3523976595941</v>
      </c>
      <c r="I45" s="63">
        <f t="shared" si="25"/>
        <v>1327.981324915567</v>
      </c>
      <c r="J45" s="63">
        <f t="shared" si="25"/>
        <v>1497.6581029055276</v>
      </c>
      <c r="K45" s="63">
        <f t="shared" si="25"/>
        <v>1869.7116202798072</v>
      </c>
      <c r="L45" s="63">
        <f t="shared" si="25"/>
        <v>2104.2285368839975</v>
      </c>
      <c r="M45" s="63">
        <f t="shared" si="25"/>
        <v>1884.6815480147613</v>
      </c>
      <c r="N45" s="63">
        <f t="shared" si="25"/>
        <v>1602.3588045609379</v>
      </c>
      <c r="O45" s="63">
        <f t="shared" si="25"/>
        <v>1128.142943926384</v>
      </c>
    </row>
    <row r="46" spans="1:15" ht="11.25">
      <c r="A46" s="64"/>
      <c r="B46" s="64" t="s">
        <v>104</v>
      </c>
      <c r="D46" s="63"/>
      <c r="E46" s="63">
        <f>E45+D46</f>
        <v>2233.4260000000004</v>
      </c>
      <c r="F46" s="63">
        <f aca="true" t="shared" si="26" ref="F46:O46">F45+E46</f>
        <v>3080.912137644957</v>
      </c>
      <c r="G46" s="63">
        <f t="shared" si="26"/>
        <v>3828.322516976241</v>
      </c>
      <c r="H46" s="63">
        <f t="shared" si="26"/>
        <v>4741.674914635835</v>
      </c>
      <c r="I46" s="63">
        <f t="shared" si="26"/>
        <v>6069.656239551402</v>
      </c>
      <c r="J46" s="63">
        <f t="shared" si="26"/>
        <v>7567.31434245693</v>
      </c>
      <c r="K46" s="63">
        <f t="shared" si="26"/>
        <v>9437.025962736738</v>
      </c>
      <c r="L46" s="63">
        <f t="shared" si="26"/>
        <v>11541.254499620736</v>
      </c>
      <c r="M46" s="63">
        <f t="shared" si="26"/>
        <v>13425.936047635498</v>
      </c>
      <c r="N46" s="63">
        <f t="shared" si="26"/>
        <v>15028.294852196435</v>
      </c>
      <c r="O46" s="63">
        <f t="shared" si="26"/>
        <v>16156.43779612282</v>
      </c>
    </row>
    <row r="48" ht="11.25">
      <c r="A48" s="2" t="s">
        <v>122</v>
      </c>
    </row>
    <row r="49" spans="2:5" ht="11.25">
      <c r="B49" s="2" t="s">
        <v>109</v>
      </c>
      <c r="E49" s="63">
        <f>O46/1000</f>
        <v>16.15643779612282</v>
      </c>
    </row>
    <row r="50" spans="2:5" ht="11.25">
      <c r="B50" s="2" t="s">
        <v>110</v>
      </c>
      <c r="E50" s="63">
        <f>0.001*(O38/DiscountRate)/((1+DiscountRate)^11)</f>
        <v>10.394317990831555</v>
      </c>
    </row>
    <row r="51" spans="2:6" ht="11.25">
      <c r="B51" s="2" t="s">
        <v>111</v>
      </c>
      <c r="E51" s="63">
        <f>E49+E50</f>
        <v>26.550755786954376</v>
      </c>
      <c r="F51" s="1" t="s">
        <v>108</v>
      </c>
    </row>
  </sheetData>
  <printOptions/>
  <pageMargins left="0.75" right="0.45" top="0.32" bottom="0.2" header="0.22" footer="0.2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McNamee</dc:creator>
  <cp:keywords/>
  <dc:description/>
  <cp:lastModifiedBy>Peter McNamee</cp:lastModifiedBy>
  <cp:lastPrinted>1999-07-26T22:50:05Z</cp:lastPrinted>
  <dcterms:created xsi:type="dcterms:W3CDTF">1999-07-26T19:09:03Z</dcterms:created>
  <dcterms:modified xsi:type="dcterms:W3CDTF">1999-11-23T23:54:01Z</dcterms:modified>
  <cp:category/>
  <cp:version/>
  <cp:contentType/>
  <cp:contentStatus/>
</cp:coreProperties>
</file>